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pbornman/Desktop/Draft Concept Notes/Functional Equivalents/MASTER EQUIV FILE/"/>
    </mc:Choice>
  </mc:AlternateContent>
  <xr:revisionPtr revIDLastSave="0" documentId="8_{F862419A-8DC7-D848-8B1E-386DDBD05437}" xr6:coauthVersionLast="47" xr6:coauthVersionMax="47" xr10:uidLastSave="{00000000-0000-0000-0000-000000000000}"/>
  <bookViews>
    <workbookView xWindow="180" yWindow="500" windowWidth="28620" windowHeight="17500" activeTab="1" xr2:uid="{00000000-000D-0000-FFFF-FFFF00000000}"/>
  </bookViews>
  <sheets>
    <sheet name="CO2_Tonne" sheetId="12" r:id="rId1"/>
    <sheet name="Volume Inputs &amp; Emissions" sheetId="7" r:id="rId2"/>
    <sheet name="Coal Production" sheetId="11" r:id="rId3"/>
    <sheet name="CO2 per Kwh SUMMARY" sheetId="13" r:id="rId4"/>
    <sheet name="EIA-GLOBAL" sheetId="14" r:id="rId5"/>
    <sheet name="INDIA" sheetId="15" r:id="rId6"/>
    <sheet name="OECD EUROPE" sheetId="16" r:id="rId7"/>
    <sheet name="Non-OECD EUROPE" sheetId="17" r:id="rId8"/>
    <sheet name="Non-OECD ASIA" sheetId="18" r:id="rId9"/>
    <sheet name="S KOREA" sheetId="19" r:id="rId10"/>
    <sheet name="JAPAN" sheetId="20" r:id="rId11"/>
    <sheet name="AFRICA" sheetId="21" r:id="rId12"/>
    <sheet name="CHINA" sheetId="22" r:id="rId13"/>
    <sheet name="BRAZIL" sheetId="23" r:id="rId14"/>
    <sheet name="Non-OECD Americas" sheetId="24" r:id="rId15"/>
    <sheet name="MEXICO" sheetId="25" r:id="rId16"/>
    <sheet name="MID EAST" sheetId="26" r:id="rId17"/>
    <sheet name="Canada" sheetId="27" r:id="rId18"/>
    <sheet name="NZ AU" sheetId="28" r:id="rId19"/>
    <sheet name="IPCC" sheetId="29" r:id="rId20"/>
    <sheet name="Port Export  SUMMARY" sheetId="4" r:id="rId21"/>
    <sheet name="Seattle" sheetId="10" r:id="rId22"/>
    <sheet name="Houston" sheetId="9" r:id="rId23"/>
    <sheet name="Alabama" sheetId="8" r:id="rId24"/>
    <sheet name="New Orleans" sheetId="5" r:id="rId25"/>
    <sheet name="Baltimore" sheetId="3" r:id="rId26"/>
    <sheet name="Norfolk" sheetId="6" r:id="rId27"/>
    <sheet name="Export_quantity_from_Seattle_WA" sheetId="35" r:id="rId28"/>
    <sheet name="Export_quantity_from_Houston-Ga" sheetId="34" r:id="rId29"/>
    <sheet name="Export_quantity_from_Mobile_AL" sheetId="33" r:id="rId30"/>
    <sheet name="Export_quantity_from_New_Orlean" sheetId="32" r:id="rId31"/>
    <sheet name="Export_quantity_from_Baltimore_" sheetId="31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3" i="7" l="1"/>
  <c r="E23" i="7"/>
  <c r="J12" i="17" l="1"/>
  <c r="J13" i="17" s="1"/>
  <c r="O12" i="4"/>
  <c r="C12" i="4"/>
  <c r="AA29" i="10"/>
  <c r="AA28" i="10"/>
  <c r="N12" i="4" s="1"/>
  <c r="AA22" i="10"/>
  <c r="H12" i="4" s="1"/>
  <c r="AA19" i="10"/>
  <c r="E12" i="4" s="1"/>
  <c r="AA17" i="10"/>
  <c r="Z15" i="10"/>
  <c r="AA11" i="10" s="1"/>
  <c r="AA18" i="10" s="1"/>
  <c r="D12" i="4" s="1"/>
  <c r="P11" i="4"/>
  <c r="I11" i="4"/>
  <c r="AA47" i="9"/>
  <c r="AA46" i="9"/>
  <c r="O11" i="4" s="1"/>
  <c r="AA45" i="9"/>
  <c r="N11" i="4" s="1"/>
  <c r="AA41" i="9"/>
  <c r="J11" i="4" s="1"/>
  <c r="AA40" i="9"/>
  <c r="AA39" i="9"/>
  <c r="H11" i="4" s="1"/>
  <c r="AA37" i="9"/>
  <c r="F11" i="4" s="1"/>
  <c r="AA31" i="9"/>
  <c r="AA29" i="9"/>
  <c r="AA28" i="9"/>
  <c r="AA27" i="9"/>
  <c r="AA38" i="9" s="1"/>
  <c r="G11" i="4" s="1"/>
  <c r="AA24" i="9"/>
  <c r="AA23" i="9"/>
  <c r="AA21" i="9"/>
  <c r="AA20" i="9"/>
  <c r="AA19" i="9"/>
  <c r="AA17" i="9"/>
  <c r="AA36" i="9" s="1"/>
  <c r="E11" i="4" s="1"/>
  <c r="AA15" i="9"/>
  <c r="AA43" i="9" s="1"/>
  <c r="L11" i="4" s="1"/>
  <c r="AA13" i="9"/>
  <c r="AA12" i="9"/>
  <c r="AA11" i="9"/>
  <c r="AA44" i="9" s="1"/>
  <c r="M11" i="4" s="1"/>
  <c r="AA8" i="9"/>
  <c r="AA7" i="9"/>
  <c r="Z32" i="9"/>
  <c r="AA18" i="9" s="1"/>
  <c r="O10" i="4"/>
  <c r="G10" i="4"/>
  <c r="AC43" i="8"/>
  <c r="P10" i="4" s="1"/>
  <c r="AC42" i="8"/>
  <c r="AC41" i="8"/>
  <c r="N10" i="4" s="1"/>
  <c r="AC40" i="8"/>
  <c r="M10" i="4" s="1"/>
  <c r="AC39" i="8"/>
  <c r="L10" i="4" s="1"/>
  <c r="AC37" i="8"/>
  <c r="J10" i="4" s="1"/>
  <c r="AC36" i="8"/>
  <c r="I10" i="4" s="1"/>
  <c r="AC35" i="8"/>
  <c r="H10" i="4" s="1"/>
  <c r="AC34" i="8"/>
  <c r="AC26" i="8"/>
  <c r="AC32" i="8" s="1"/>
  <c r="E10" i="4" s="1"/>
  <c r="AB28" i="8"/>
  <c r="AC20" i="8" s="1"/>
  <c r="P9" i="4"/>
  <c r="L9" i="4"/>
  <c r="I9" i="4"/>
  <c r="M49" i="5"/>
  <c r="M47" i="5"/>
  <c r="N9" i="4" s="1"/>
  <c r="M45" i="5"/>
  <c r="M43" i="5"/>
  <c r="J9" i="4" s="1"/>
  <c r="M42" i="5"/>
  <c r="M41" i="5"/>
  <c r="H9" i="4" s="1"/>
  <c r="M39" i="5"/>
  <c r="F9" i="4" s="1"/>
  <c r="M32" i="5"/>
  <c r="M30" i="5"/>
  <c r="M38" i="5" s="1"/>
  <c r="E9" i="4" s="1"/>
  <c r="M29" i="5"/>
  <c r="M28" i="5"/>
  <c r="M25" i="5"/>
  <c r="M24" i="5"/>
  <c r="M23" i="5"/>
  <c r="M22" i="5"/>
  <c r="M21" i="5"/>
  <c r="M20" i="5"/>
  <c r="M18" i="5"/>
  <c r="M16" i="5"/>
  <c r="M14" i="5"/>
  <c r="M36" i="5" s="1"/>
  <c r="C9" i="4" s="1"/>
  <c r="M13" i="5"/>
  <c r="M40" i="5" s="1"/>
  <c r="G9" i="4" s="1"/>
  <c r="M12" i="5"/>
  <c r="L33" i="5"/>
  <c r="M19" i="5" s="1"/>
  <c r="Z29" i="3"/>
  <c r="Z28" i="3"/>
  <c r="Z27" i="3"/>
  <c r="Z26" i="3"/>
  <c r="Z25" i="3"/>
  <c r="Z24" i="3"/>
  <c r="Z23" i="3"/>
  <c r="Z22" i="3"/>
  <c r="AA24" i="3"/>
  <c r="AA19" i="3"/>
  <c r="AA25" i="3" s="1"/>
  <c r="AA18" i="3"/>
  <c r="AA17" i="3"/>
  <c r="AA16" i="3"/>
  <c r="AA15" i="3"/>
  <c r="AA27" i="3" s="1"/>
  <c r="AA14" i="3"/>
  <c r="AA29" i="3" s="1"/>
  <c r="AA13" i="3"/>
  <c r="AA28" i="3" s="1"/>
  <c r="AA12" i="3"/>
  <c r="AA11" i="3"/>
  <c r="AA10" i="3"/>
  <c r="AA26" i="3" s="1"/>
  <c r="AA9" i="3"/>
  <c r="AA8" i="3"/>
  <c r="AA7" i="3"/>
  <c r="AA23" i="3" s="1"/>
  <c r="K8" i="4" s="1"/>
  <c r="AA6" i="3"/>
  <c r="AA22" i="3" s="1"/>
  <c r="G8" i="4" s="1"/>
  <c r="Z20" i="3"/>
  <c r="AA20" i="3" s="1"/>
  <c r="C17" i="6"/>
  <c r="C24" i="6"/>
  <c r="C23" i="6"/>
  <c r="C22" i="6"/>
  <c r="C20" i="6"/>
  <c r="C30" i="6"/>
  <c r="C40" i="6"/>
  <c r="C39" i="6"/>
  <c r="C38" i="6"/>
  <c r="C35" i="6"/>
  <c r="C34" i="6"/>
  <c r="C44" i="6"/>
  <c r="C47" i="6"/>
  <c r="C52" i="6"/>
  <c r="C50" i="6"/>
  <c r="C58" i="6"/>
  <c r="C56" i="6"/>
  <c r="C55" i="6"/>
  <c r="C59" i="6"/>
  <c r="B110" i="6"/>
  <c r="C21" i="6" s="1"/>
  <c r="U90" i="3"/>
  <c r="I26" i="27"/>
  <c r="H26" i="27"/>
  <c r="G26" i="27"/>
  <c r="F26" i="27"/>
  <c r="E26" i="27"/>
  <c r="D26" i="27"/>
  <c r="C26" i="27"/>
  <c r="I24" i="27"/>
  <c r="H24" i="27"/>
  <c r="G24" i="27"/>
  <c r="F24" i="27"/>
  <c r="E24" i="27"/>
  <c r="D24" i="27"/>
  <c r="J24" i="27" s="1"/>
  <c r="C24" i="27"/>
  <c r="I22" i="27"/>
  <c r="H22" i="27"/>
  <c r="G22" i="27"/>
  <c r="F22" i="27"/>
  <c r="E22" i="27"/>
  <c r="D22" i="27"/>
  <c r="C22" i="27"/>
  <c r="D6" i="29"/>
  <c r="E6" i="29"/>
  <c r="N36" i="29" s="1"/>
  <c r="D7" i="29"/>
  <c r="E7" i="29" s="1"/>
  <c r="D8" i="29"/>
  <c r="E8" i="29" s="1"/>
  <c r="D9" i="29"/>
  <c r="E9" i="29"/>
  <c r="D10" i="29"/>
  <c r="E10" i="29" s="1"/>
  <c r="D11" i="29"/>
  <c r="E11" i="29" s="1"/>
  <c r="D12" i="29"/>
  <c r="E12" i="29" s="1"/>
  <c r="D13" i="29"/>
  <c r="E13" i="29" s="1"/>
  <c r="D14" i="29"/>
  <c r="E14" i="29"/>
  <c r="L33" i="29" s="1"/>
  <c r="D15" i="29"/>
  <c r="E15" i="29" s="1"/>
  <c r="D16" i="29"/>
  <c r="E16" i="29" s="1"/>
  <c r="C18" i="29"/>
  <c r="C19" i="29" s="1"/>
  <c r="L53" i="29"/>
  <c r="L69" i="29"/>
  <c r="C20" i="28"/>
  <c r="D20" i="28"/>
  <c r="E20" i="28"/>
  <c r="F20" i="28"/>
  <c r="G20" i="28"/>
  <c r="H20" i="28"/>
  <c r="I20" i="28"/>
  <c r="C21" i="28"/>
  <c r="D21" i="28"/>
  <c r="E21" i="28"/>
  <c r="F21" i="28"/>
  <c r="G21" i="28"/>
  <c r="H21" i="28"/>
  <c r="I21" i="28"/>
  <c r="C22" i="28"/>
  <c r="D22" i="28"/>
  <c r="E22" i="28"/>
  <c r="F22" i="28"/>
  <c r="G22" i="28"/>
  <c r="H22" i="28"/>
  <c r="I22" i="28"/>
  <c r="C23" i="28"/>
  <c r="D23" i="28"/>
  <c r="J23" i="28" s="1"/>
  <c r="E23" i="28"/>
  <c r="F23" i="28"/>
  <c r="G23" i="28"/>
  <c r="H23" i="28"/>
  <c r="I23" i="28"/>
  <c r="C24" i="28"/>
  <c r="D24" i="28"/>
  <c r="E24" i="28"/>
  <c r="F24" i="28"/>
  <c r="G24" i="28"/>
  <c r="H24" i="28"/>
  <c r="I24" i="28"/>
  <c r="C25" i="28"/>
  <c r="D25" i="28"/>
  <c r="E25" i="28"/>
  <c r="F25" i="28"/>
  <c r="G25" i="28"/>
  <c r="H25" i="28"/>
  <c r="I25" i="28"/>
  <c r="C26" i="28"/>
  <c r="D26" i="28"/>
  <c r="E26" i="28"/>
  <c r="F26" i="28"/>
  <c r="G26" i="28"/>
  <c r="H26" i="28"/>
  <c r="I26" i="28"/>
  <c r="D4" i="27"/>
  <c r="E4" i="27" s="1"/>
  <c r="H4" i="27"/>
  <c r="I4" i="27" s="1"/>
  <c r="D5" i="27"/>
  <c r="E5" i="27" s="1"/>
  <c r="H5" i="27"/>
  <c r="I5" i="27"/>
  <c r="D6" i="27"/>
  <c r="E6" i="27" s="1"/>
  <c r="H6" i="27"/>
  <c r="I6" i="27" s="1"/>
  <c r="D7" i="27"/>
  <c r="E7" i="27" s="1"/>
  <c r="H7" i="27"/>
  <c r="I7" i="27" s="1"/>
  <c r="D8" i="27"/>
  <c r="E8" i="27" s="1"/>
  <c r="H8" i="27"/>
  <c r="D9" i="27"/>
  <c r="E9" i="27" s="1"/>
  <c r="H9" i="27"/>
  <c r="I9" i="27" s="1"/>
  <c r="D10" i="27"/>
  <c r="E10" i="27" s="1"/>
  <c r="H10" i="27"/>
  <c r="I10" i="27" s="1"/>
  <c r="F12" i="27"/>
  <c r="J21" i="27"/>
  <c r="J23" i="27"/>
  <c r="H35" i="27" s="1"/>
  <c r="H48" i="27" s="1"/>
  <c r="J25" i="27"/>
  <c r="C37" i="27" s="1"/>
  <c r="J27" i="27"/>
  <c r="C39" i="27" s="1"/>
  <c r="H33" i="27"/>
  <c r="H46" i="27" s="1"/>
  <c r="F35" i="27"/>
  <c r="F48" i="27" s="1"/>
  <c r="D37" i="27"/>
  <c r="D50" i="27" s="1"/>
  <c r="E37" i="27"/>
  <c r="E50" i="27" s="1"/>
  <c r="F37" i="27"/>
  <c r="F50" i="27" s="1"/>
  <c r="G37" i="27"/>
  <c r="H37" i="27"/>
  <c r="I37" i="27"/>
  <c r="I50" i="27" s="1"/>
  <c r="D39" i="27"/>
  <c r="D52" i="27" s="1"/>
  <c r="F39" i="27"/>
  <c r="G39" i="27"/>
  <c r="G52" i="27" s="1"/>
  <c r="H39" i="27"/>
  <c r="H52" i="27" s="1"/>
  <c r="G50" i="27"/>
  <c r="H50" i="27"/>
  <c r="F52" i="27"/>
  <c r="D4" i="26"/>
  <c r="E4" i="26" s="1"/>
  <c r="D5" i="26"/>
  <c r="E5" i="26"/>
  <c r="D6" i="26"/>
  <c r="E6" i="26" s="1"/>
  <c r="D7" i="26"/>
  <c r="E7" i="26" s="1"/>
  <c r="D9" i="26"/>
  <c r="E9" i="26" s="1"/>
  <c r="D10" i="26"/>
  <c r="E10" i="26" s="1"/>
  <c r="C20" i="26"/>
  <c r="D20" i="26"/>
  <c r="E20" i="26"/>
  <c r="F20" i="26"/>
  <c r="G20" i="26"/>
  <c r="H20" i="26"/>
  <c r="I20" i="26"/>
  <c r="C21" i="26"/>
  <c r="D21" i="26"/>
  <c r="E21" i="26"/>
  <c r="F21" i="26"/>
  <c r="G21" i="26"/>
  <c r="H21" i="26"/>
  <c r="I21" i="26"/>
  <c r="C22" i="26"/>
  <c r="D22" i="26"/>
  <c r="E22" i="26"/>
  <c r="F22" i="26"/>
  <c r="G22" i="26"/>
  <c r="H22" i="26"/>
  <c r="I22" i="26"/>
  <c r="C23" i="26"/>
  <c r="D23" i="26"/>
  <c r="E23" i="26"/>
  <c r="F23" i="26"/>
  <c r="G23" i="26"/>
  <c r="H23" i="26"/>
  <c r="I23" i="26"/>
  <c r="C24" i="26"/>
  <c r="D24" i="26"/>
  <c r="E24" i="26"/>
  <c r="F24" i="26"/>
  <c r="G24" i="26"/>
  <c r="H24" i="26"/>
  <c r="I24" i="26"/>
  <c r="C25" i="26"/>
  <c r="J25" i="26" s="1"/>
  <c r="D25" i="26"/>
  <c r="E25" i="26"/>
  <c r="F25" i="26"/>
  <c r="G25" i="26"/>
  <c r="H25" i="26"/>
  <c r="I25" i="26"/>
  <c r="C26" i="26"/>
  <c r="D26" i="26"/>
  <c r="E26" i="26"/>
  <c r="F26" i="26"/>
  <c r="G26" i="26"/>
  <c r="H26" i="26"/>
  <c r="I26" i="26"/>
  <c r="C20" i="25"/>
  <c r="D20" i="25"/>
  <c r="E20" i="25"/>
  <c r="F20" i="25"/>
  <c r="G20" i="25"/>
  <c r="H20" i="25"/>
  <c r="I20" i="25"/>
  <c r="C21" i="25"/>
  <c r="D21" i="25"/>
  <c r="E21" i="25"/>
  <c r="F21" i="25"/>
  <c r="G21" i="25"/>
  <c r="H21" i="25"/>
  <c r="I21" i="25"/>
  <c r="C22" i="25"/>
  <c r="D22" i="25"/>
  <c r="E22" i="25"/>
  <c r="F22" i="25"/>
  <c r="G22" i="25"/>
  <c r="H22" i="25"/>
  <c r="I22" i="25"/>
  <c r="J22" i="25"/>
  <c r="C23" i="25"/>
  <c r="D23" i="25"/>
  <c r="E23" i="25"/>
  <c r="F23" i="25"/>
  <c r="G23" i="25"/>
  <c r="H23" i="25"/>
  <c r="I23" i="25"/>
  <c r="C24" i="25"/>
  <c r="D24" i="25"/>
  <c r="E24" i="25"/>
  <c r="F24" i="25"/>
  <c r="G24" i="25"/>
  <c r="H24" i="25"/>
  <c r="I24" i="25"/>
  <c r="C25" i="25"/>
  <c r="J25" i="25" s="1"/>
  <c r="D25" i="25"/>
  <c r="E25" i="25"/>
  <c r="F25" i="25"/>
  <c r="G25" i="25"/>
  <c r="H25" i="25"/>
  <c r="I25" i="25"/>
  <c r="C26" i="25"/>
  <c r="D26" i="25"/>
  <c r="E26" i="25"/>
  <c r="F26" i="25"/>
  <c r="G26" i="25"/>
  <c r="H26" i="25"/>
  <c r="I26" i="25"/>
  <c r="D4" i="24"/>
  <c r="E4" i="24" s="1"/>
  <c r="D5" i="24"/>
  <c r="E5" i="24" s="1"/>
  <c r="D6" i="24"/>
  <c r="E6" i="24" s="1"/>
  <c r="D7" i="24"/>
  <c r="E7" i="24" s="1"/>
  <c r="D9" i="24"/>
  <c r="E9" i="24" s="1"/>
  <c r="D10" i="24"/>
  <c r="E10" i="24" s="1"/>
  <c r="C20" i="24"/>
  <c r="D20" i="24"/>
  <c r="E20" i="24"/>
  <c r="F20" i="24"/>
  <c r="G20" i="24"/>
  <c r="H20" i="24"/>
  <c r="H32" i="24" s="1"/>
  <c r="H45" i="24" s="1"/>
  <c r="I20" i="24"/>
  <c r="I32" i="24" s="1"/>
  <c r="I45" i="24" s="1"/>
  <c r="C21" i="24"/>
  <c r="D21" i="24"/>
  <c r="E21" i="24"/>
  <c r="F21" i="24"/>
  <c r="G21" i="24"/>
  <c r="H21" i="24"/>
  <c r="H33" i="24" s="1"/>
  <c r="H46" i="24" s="1"/>
  <c r="I21" i="24"/>
  <c r="I33" i="24" s="1"/>
  <c r="I46" i="24" s="1"/>
  <c r="C22" i="24"/>
  <c r="D22" i="24"/>
  <c r="E22" i="24"/>
  <c r="F22" i="24"/>
  <c r="G22" i="24"/>
  <c r="H22" i="24"/>
  <c r="H34" i="24" s="1"/>
  <c r="H47" i="24" s="1"/>
  <c r="I22" i="24"/>
  <c r="I34" i="24" s="1"/>
  <c r="I47" i="24" s="1"/>
  <c r="C23" i="24"/>
  <c r="D23" i="24"/>
  <c r="E23" i="24"/>
  <c r="F23" i="24"/>
  <c r="G23" i="24"/>
  <c r="H23" i="24"/>
  <c r="H35" i="24" s="1"/>
  <c r="H48" i="24" s="1"/>
  <c r="I23" i="24"/>
  <c r="C24" i="24"/>
  <c r="D24" i="24"/>
  <c r="E24" i="24"/>
  <c r="F24" i="24"/>
  <c r="G24" i="24"/>
  <c r="H24" i="24"/>
  <c r="I24" i="24"/>
  <c r="C25" i="24"/>
  <c r="D25" i="24"/>
  <c r="E25" i="24"/>
  <c r="F25" i="24"/>
  <c r="G25" i="24"/>
  <c r="H25" i="24"/>
  <c r="I25" i="24"/>
  <c r="C26" i="24"/>
  <c r="D26" i="24"/>
  <c r="E26" i="24"/>
  <c r="F26" i="24"/>
  <c r="G26" i="24"/>
  <c r="H26" i="24"/>
  <c r="H38" i="24" s="1"/>
  <c r="H51" i="24" s="1"/>
  <c r="I26" i="24"/>
  <c r="I38" i="24" s="1"/>
  <c r="I51" i="24" s="1"/>
  <c r="I35" i="24"/>
  <c r="I48" i="24" s="1"/>
  <c r="H36" i="24"/>
  <c r="H49" i="24" s="1"/>
  <c r="I36" i="24"/>
  <c r="I49" i="24" s="1"/>
  <c r="H37" i="24"/>
  <c r="H50" i="24" s="1"/>
  <c r="D4" i="23"/>
  <c r="E4" i="23" s="1"/>
  <c r="D5" i="23"/>
  <c r="E5" i="23" s="1"/>
  <c r="D6" i="23"/>
  <c r="E6" i="23" s="1"/>
  <c r="D7" i="23"/>
  <c r="E7" i="23" s="1"/>
  <c r="D9" i="23"/>
  <c r="E9" i="23" s="1"/>
  <c r="D10" i="23"/>
  <c r="E10" i="23" s="1"/>
  <c r="C20" i="23"/>
  <c r="D20" i="23"/>
  <c r="E20" i="23"/>
  <c r="F20" i="23"/>
  <c r="G20" i="23"/>
  <c r="H20" i="23"/>
  <c r="I20" i="23"/>
  <c r="C21" i="23"/>
  <c r="D21" i="23"/>
  <c r="E21" i="23"/>
  <c r="F21" i="23"/>
  <c r="G21" i="23"/>
  <c r="H21" i="23"/>
  <c r="I21" i="23"/>
  <c r="C22" i="23"/>
  <c r="J22" i="23" s="1"/>
  <c r="D22" i="23"/>
  <c r="E22" i="23"/>
  <c r="F22" i="23"/>
  <c r="F34" i="23" s="1"/>
  <c r="F47" i="23" s="1"/>
  <c r="G22" i="23"/>
  <c r="H22" i="23"/>
  <c r="I22" i="23"/>
  <c r="C23" i="23"/>
  <c r="D23" i="23"/>
  <c r="E23" i="23"/>
  <c r="F23" i="23"/>
  <c r="G23" i="23"/>
  <c r="H23" i="23"/>
  <c r="I23" i="23"/>
  <c r="C24" i="23"/>
  <c r="D24" i="23"/>
  <c r="E24" i="23"/>
  <c r="F24" i="23"/>
  <c r="G24" i="23"/>
  <c r="H24" i="23"/>
  <c r="I24" i="23"/>
  <c r="C25" i="23"/>
  <c r="D25" i="23"/>
  <c r="E25" i="23"/>
  <c r="F25" i="23"/>
  <c r="G25" i="23"/>
  <c r="H25" i="23"/>
  <c r="I25" i="23"/>
  <c r="C26" i="23"/>
  <c r="D26" i="23"/>
  <c r="E26" i="23"/>
  <c r="F26" i="23"/>
  <c r="G26" i="23"/>
  <c r="H26" i="23"/>
  <c r="I26" i="23"/>
  <c r="D4" i="22"/>
  <c r="H4" i="22"/>
  <c r="I4" i="22" s="1"/>
  <c r="D5" i="22"/>
  <c r="H5" i="22"/>
  <c r="I5" i="22" s="1"/>
  <c r="D6" i="22"/>
  <c r="H6" i="22"/>
  <c r="I6" i="22" s="1"/>
  <c r="D7" i="22"/>
  <c r="H7" i="22"/>
  <c r="I7" i="22" s="1"/>
  <c r="H8" i="22"/>
  <c r="D9" i="22"/>
  <c r="H9" i="22"/>
  <c r="I9" i="22" s="1"/>
  <c r="D10" i="22"/>
  <c r="H10" i="22"/>
  <c r="I10" i="22" s="1"/>
  <c r="C20" i="22"/>
  <c r="D20" i="22"/>
  <c r="E20" i="22"/>
  <c r="F20" i="22"/>
  <c r="G20" i="22"/>
  <c r="H20" i="22"/>
  <c r="I20" i="22"/>
  <c r="C21" i="22"/>
  <c r="J21" i="22" s="1"/>
  <c r="D21" i="22"/>
  <c r="E21" i="22"/>
  <c r="E33" i="22" s="1"/>
  <c r="E46" i="22" s="1"/>
  <c r="F21" i="22"/>
  <c r="G21" i="22"/>
  <c r="H21" i="22"/>
  <c r="I21" i="22"/>
  <c r="C22" i="22"/>
  <c r="D22" i="22"/>
  <c r="E22" i="22"/>
  <c r="F22" i="22"/>
  <c r="G22" i="22"/>
  <c r="H22" i="22"/>
  <c r="I22" i="22"/>
  <c r="C23" i="22"/>
  <c r="D23" i="22"/>
  <c r="E23" i="22"/>
  <c r="F23" i="22"/>
  <c r="G23" i="22"/>
  <c r="H23" i="22"/>
  <c r="I23" i="22"/>
  <c r="C24" i="22"/>
  <c r="J24" i="22" s="1"/>
  <c r="D24" i="22"/>
  <c r="E24" i="22"/>
  <c r="F24" i="22"/>
  <c r="G24" i="22"/>
  <c r="H24" i="22"/>
  <c r="H36" i="22" s="1"/>
  <c r="H49" i="22" s="1"/>
  <c r="I24" i="22"/>
  <c r="C25" i="22"/>
  <c r="D25" i="22"/>
  <c r="E25" i="22"/>
  <c r="F25" i="22"/>
  <c r="G25" i="22"/>
  <c r="H25" i="22"/>
  <c r="I25" i="22"/>
  <c r="C26" i="22"/>
  <c r="D26" i="22"/>
  <c r="E26" i="22"/>
  <c r="F26" i="22"/>
  <c r="G26" i="22"/>
  <c r="H26" i="22"/>
  <c r="I26" i="22"/>
  <c r="D4" i="21"/>
  <c r="E4" i="21" s="1"/>
  <c r="D5" i="21"/>
  <c r="E5" i="21" s="1"/>
  <c r="D6" i="21"/>
  <c r="E6" i="21" s="1"/>
  <c r="D7" i="21"/>
  <c r="E7" i="21" s="1"/>
  <c r="D9" i="21"/>
  <c r="E9" i="21" s="1"/>
  <c r="D10" i="21"/>
  <c r="E10" i="21" s="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J44" i="21"/>
  <c r="D4" i="20"/>
  <c r="E4" i="20" s="1"/>
  <c r="D5" i="20"/>
  <c r="E5" i="20" s="1"/>
  <c r="D6" i="20"/>
  <c r="E6" i="20" s="1"/>
  <c r="D7" i="20"/>
  <c r="E7" i="20" s="1"/>
  <c r="D9" i="20"/>
  <c r="E9" i="20" s="1"/>
  <c r="D10" i="20"/>
  <c r="E10" i="20" s="1"/>
  <c r="C20" i="20"/>
  <c r="J20" i="20" s="1"/>
  <c r="D20" i="20"/>
  <c r="E20" i="20"/>
  <c r="F20" i="20"/>
  <c r="G20" i="20"/>
  <c r="H20" i="20"/>
  <c r="I20" i="20"/>
  <c r="C21" i="20"/>
  <c r="D21" i="20"/>
  <c r="E21" i="20"/>
  <c r="F21" i="20"/>
  <c r="G21" i="20"/>
  <c r="H21" i="20"/>
  <c r="I21" i="20"/>
  <c r="C22" i="20"/>
  <c r="D22" i="20"/>
  <c r="E22" i="20"/>
  <c r="F22" i="20"/>
  <c r="G22" i="20"/>
  <c r="H22" i="20"/>
  <c r="I22" i="20"/>
  <c r="C23" i="20"/>
  <c r="D23" i="20"/>
  <c r="E23" i="20"/>
  <c r="F23" i="20"/>
  <c r="G23" i="20"/>
  <c r="H23" i="20"/>
  <c r="I23" i="20"/>
  <c r="C24" i="20"/>
  <c r="D24" i="20"/>
  <c r="E24" i="20"/>
  <c r="F24" i="20"/>
  <c r="G24" i="20"/>
  <c r="H24" i="20"/>
  <c r="I24" i="20"/>
  <c r="C25" i="20"/>
  <c r="D25" i="20"/>
  <c r="E25" i="20"/>
  <c r="F25" i="20"/>
  <c r="G25" i="20"/>
  <c r="H25" i="20"/>
  <c r="I25" i="20"/>
  <c r="C26" i="20"/>
  <c r="D26" i="20"/>
  <c r="E26" i="20"/>
  <c r="F26" i="20"/>
  <c r="G26" i="20"/>
  <c r="H26" i="20"/>
  <c r="I26" i="20"/>
  <c r="D4" i="19"/>
  <c r="E4" i="19" s="1"/>
  <c r="D5" i="19"/>
  <c r="E5" i="19" s="1"/>
  <c r="D6" i="19"/>
  <c r="E6" i="19" s="1"/>
  <c r="D7" i="19"/>
  <c r="E7" i="19" s="1"/>
  <c r="D9" i="19"/>
  <c r="E9" i="19" s="1"/>
  <c r="D10" i="19"/>
  <c r="E10" i="19" s="1"/>
  <c r="C20" i="19"/>
  <c r="D20" i="19"/>
  <c r="E20" i="19"/>
  <c r="F20" i="19"/>
  <c r="G20" i="19"/>
  <c r="J20" i="19" s="1"/>
  <c r="C32" i="19" s="1"/>
  <c r="H20" i="19"/>
  <c r="I20" i="19"/>
  <c r="C21" i="19"/>
  <c r="D21" i="19"/>
  <c r="E21" i="19"/>
  <c r="F21" i="19"/>
  <c r="G21" i="19"/>
  <c r="H21" i="19"/>
  <c r="I21" i="19"/>
  <c r="C22" i="19"/>
  <c r="D22" i="19"/>
  <c r="E22" i="19"/>
  <c r="F22" i="19"/>
  <c r="G22" i="19"/>
  <c r="H22" i="19"/>
  <c r="I22" i="19"/>
  <c r="C23" i="19"/>
  <c r="D23" i="19"/>
  <c r="J23" i="19" s="1"/>
  <c r="E23" i="19"/>
  <c r="F23" i="19"/>
  <c r="G23" i="19"/>
  <c r="H23" i="19"/>
  <c r="I23" i="19"/>
  <c r="C24" i="19"/>
  <c r="D24" i="19"/>
  <c r="E24" i="19"/>
  <c r="F24" i="19"/>
  <c r="G24" i="19"/>
  <c r="H24" i="19"/>
  <c r="I24" i="19"/>
  <c r="C25" i="19"/>
  <c r="D25" i="19"/>
  <c r="E25" i="19"/>
  <c r="F25" i="19"/>
  <c r="G25" i="19"/>
  <c r="H25" i="19"/>
  <c r="I25" i="19"/>
  <c r="C26" i="19"/>
  <c r="D26" i="19"/>
  <c r="E26" i="19"/>
  <c r="F26" i="19"/>
  <c r="G26" i="19"/>
  <c r="H26" i="19"/>
  <c r="I26" i="19"/>
  <c r="D44" i="19"/>
  <c r="E44" i="19"/>
  <c r="F44" i="19"/>
  <c r="G44" i="19"/>
  <c r="H44" i="19"/>
  <c r="I44" i="19"/>
  <c r="D4" i="18"/>
  <c r="E4" i="18" s="1"/>
  <c r="D5" i="18"/>
  <c r="E5" i="18" s="1"/>
  <c r="D6" i="18"/>
  <c r="E6" i="18" s="1"/>
  <c r="D7" i="18"/>
  <c r="E7" i="18" s="1"/>
  <c r="D9" i="18"/>
  <c r="E9" i="18" s="1"/>
  <c r="D10" i="18"/>
  <c r="E10" i="18" s="1"/>
  <c r="G21" i="18"/>
  <c r="H21" i="18"/>
  <c r="I21" i="18"/>
  <c r="J21" i="18" s="1"/>
  <c r="C22" i="18"/>
  <c r="D22" i="18"/>
  <c r="J22" i="18" s="1"/>
  <c r="E22" i="18"/>
  <c r="F22" i="18"/>
  <c r="G22" i="18"/>
  <c r="H22" i="18"/>
  <c r="I22" i="18"/>
  <c r="G23" i="18"/>
  <c r="H23" i="18"/>
  <c r="I23" i="18"/>
  <c r="J23" i="18" s="1"/>
  <c r="C24" i="18"/>
  <c r="J24" i="18" s="1"/>
  <c r="D24" i="18"/>
  <c r="E24" i="18"/>
  <c r="F24" i="18"/>
  <c r="G24" i="18"/>
  <c r="H24" i="18"/>
  <c r="I24" i="18"/>
  <c r="G25" i="18"/>
  <c r="J25" i="18" s="1"/>
  <c r="I25" i="18"/>
  <c r="C26" i="18"/>
  <c r="D26" i="18"/>
  <c r="E26" i="18"/>
  <c r="F26" i="18"/>
  <c r="G26" i="18"/>
  <c r="H26" i="18"/>
  <c r="I26" i="18"/>
  <c r="G27" i="18"/>
  <c r="I27" i="18"/>
  <c r="I36" i="18"/>
  <c r="I49" i="18" s="1"/>
  <c r="D46" i="18"/>
  <c r="E46" i="18"/>
  <c r="F46" i="18"/>
  <c r="G46" i="18"/>
  <c r="H46" i="18"/>
  <c r="I46" i="18"/>
  <c r="D4" i="17"/>
  <c r="E4" i="17"/>
  <c r="D5" i="17"/>
  <c r="E5" i="17" s="1"/>
  <c r="D6" i="17"/>
  <c r="E6" i="17" s="1"/>
  <c r="D7" i="17"/>
  <c r="E7" i="17" s="1"/>
  <c r="D9" i="17"/>
  <c r="E9" i="17"/>
  <c r="D10" i="17"/>
  <c r="E10" i="17" s="1"/>
  <c r="C20" i="17"/>
  <c r="J20" i="17" s="1"/>
  <c r="D20" i="17"/>
  <c r="E20" i="17"/>
  <c r="F20" i="17"/>
  <c r="G20" i="17"/>
  <c r="H20" i="17"/>
  <c r="I20" i="17"/>
  <c r="C21" i="17"/>
  <c r="D21" i="17"/>
  <c r="E21" i="17"/>
  <c r="F21" i="17"/>
  <c r="G21" i="17"/>
  <c r="H21" i="17"/>
  <c r="I21" i="17"/>
  <c r="C22" i="17"/>
  <c r="D22" i="17"/>
  <c r="E22" i="17"/>
  <c r="F22" i="17"/>
  <c r="G22" i="17"/>
  <c r="H22" i="17"/>
  <c r="I22" i="17"/>
  <c r="C23" i="17"/>
  <c r="D23" i="17"/>
  <c r="E23" i="17"/>
  <c r="F23" i="17"/>
  <c r="G23" i="17"/>
  <c r="H23" i="17"/>
  <c r="I23" i="17"/>
  <c r="C24" i="17"/>
  <c r="D24" i="17"/>
  <c r="E24" i="17"/>
  <c r="F24" i="17"/>
  <c r="G24" i="17"/>
  <c r="H24" i="17"/>
  <c r="I24" i="17"/>
  <c r="C25" i="17"/>
  <c r="D25" i="17"/>
  <c r="E25" i="17"/>
  <c r="F25" i="17"/>
  <c r="G25" i="17"/>
  <c r="H25" i="17"/>
  <c r="I25" i="17"/>
  <c r="C26" i="17"/>
  <c r="D26" i="17"/>
  <c r="E26" i="17"/>
  <c r="F26" i="17"/>
  <c r="G26" i="17"/>
  <c r="H26" i="17"/>
  <c r="I26" i="17"/>
  <c r="J26" i="17" s="1"/>
  <c r="C38" i="17" s="1"/>
  <c r="D44" i="17"/>
  <c r="E44" i="17"/>
  <c r="F44" i="17"/>
  <c r="G44" i="17"/>
  <c r="H44" i="17"/>
  <c r="I44" i="17"/>
  <c r="D4" i="16"/>
  <c r="E4" i="16" s="1"/>
  <c r="H4" i="16"/>
  <c r="I4" i="16" s="1"/>
  <c r="D5" i="16"/>
  <c r="E5" i="16" s="1"/>
  <c r="H5" i="16"/>
  <c r="I5" i="16"/>
  <c r="D6" i="16"/>
  <c r="E6" i="16" s="1"/>
  <c r="H6" i="16"/>
  <c r="I6" i="16"/>
  <c r="D7" i="16"/>
  <c r="E7" i="16" s="1"/>
  <c r="H7" i="16"/>
  <c r="I7" i="16" s="1"/>
  <c r="D8" i="16"/>
  <c r="E8" i="16" s="1"/>
  <c r="H8" i="16"/>
  <c r="I8" i="16"/>
  <c r="D9" i="16"/>
  <c r="E9" i="16" s="1"/>
  <c r="H9" i="16"/>
  <c r="I9" i="16" s="1"/>
  <c r="D10" i="16"/>
  <c r="E10" i="16" s="1"/>
  <c r="H10" i="16"/>
  <c r="I10" i="16" s="1"/>
  <c r="J12" i="16"/>
  <c r="J13" i="16" s="1"/>
  <c r="I20" i="16"/>
  <c r="C21" i="16"/>
  <c r="D21" i="16"/>
  <c r="E21" i="16"/>
  <c r="F21" i="16"/>
  <c r="G21" i="16"/>
  <c r="H21" i="16"/>
  <c r="I21" i="16"/>
  <c r="H22" i="16"/>
  <c r="J22" i="16" s="1"/>
  <c r="I22" i="16"/>
  <c r="C23" i="16"/>
  <c r="D23" i="16"/>
  <c r="E23" i="16"/>
  <c r="F23" i="16"/>
  <c r="G23" i="16"/>
  <c r="H23" i="16"/>
  <c r="I23" i="16"/>
  <c r="H24" i="16"/>
  <c r="I24" i="16"/>
  <c r="C25" i="16"/>
  <c r="D25" i="16"/>
  <c r="E25" i="16"/>
  <c r="F25" i="16"/>
  <c r="G25" i="16"/>
  <c r="H25" i="16"/>
  <c r="I25" i="16"/>
  <c r="H26" i="16"/>
  <c r="I26" i="16"/>
  <c r="J26" i="16" s="1"/>
  <c r="D4" i="15"/>
  <c r="E4" i="15" s="1"/>
  <c r="O21" i="15" s="1"/>
  <c r="O31" i="15" s="1"/>
  <c r="D5" i="15"/>
  <c r="E5" i="15" s="1"/>
  <c r="D6" i="15"/>
  <c r="E6" i="15" s="1"/>
  <c r="R19" i="15" s="1"/>
  <c r="D7" i="15"/>
  <c r="E7" i="15" s="1"/>
  <c r="D8" i="15"/>
  <c r="E8" i="15" s="1"/>
  <c r="M22" i="15" s="1"/>
  <c r="D9" i="15"/>
  <c r="E9" i="15" s="1"/>
  <c r="D10" i="15"/>
  <c r="E10" i="15" s="1"/>
  <c r="J12" i="15"/>
  <c r="J13" i="15" s="1"/>
  <c r="I20" i="15"/>
  <c r="C21" i="15"/>
  <c r="D21" i="15"/>
  <c r="E21" i="15"/>
  <c r="F21" i="15"/>
  <c r="G21" i="15"/>
  <c r="H21" i="15"/>
  <c r="I21" i="15"/>
  <c r="I22" i="15"/>
  <c r="J22" i="15"/>
  <c r="C23" i="15"/>
  <c r="D23" i="15"/>
  <c r="E23" i="15"/>
  <c r="F23" i="15"/>
  <c r="G23" i="15"/>
  <c r="H23" i="15"/>
  <c r="I23" i="15"/>
  <c r="G24" i="15"/>
  <c r="J24" i="15" s="1"/>
  <c r="I24" i="15"/>
  <c r="C25" i="15"/>
  <c r="D25" i="15"/>
  <c r="E25" i="15"/>
  <c r="F25" i="15"/>
  <c r="G25" i="15"/>
  <c r="H25" i="15"/>
  <c r="J25" i="15" s="1"/>
  <c r="I25" i="15"/>
  <c r="G26" i="15"/>
  <c r="I26" i="15"/>
  <c r="C35" i="15"/>
  <c r="C48" i="15" s="1"/>
  <c r="D35" i="15"/>
  <c r="E35" i="15"/>
  <c r="E48" i="15" s="1"/>
  <c r="F35" i="15"/>
  <c r="F48" i="15" s="1"/>
  <c r="I35" i="15"/>
  <c r="I48" i="15" s="1"/>
  <c r="D6" i="14"/>
  <c r="E6" i="14" s="1"/>
  <c r="D7" i="14"/>
  <c r="E7" i="14" s="1"/>
  <c r="D8" i="14"/>
  <c r="E8" i="14" s="1"/>
  <c r="D9" i="14"/>
  <c r="E9" i="14" s="1"/>
  <c r="D10" i="14"/>
  <c r="E10" i="14" s="1"/>
  <c r="L71" i="14" s="1"/>
  <c r="D11" i="14"/>
  <c r="E11" i="14" s="1"/>
  <c r="D12" i="14"/>
  <c r="E12" i="14" s="1"/>
  <c r="J14" i="14"/>
  <c r="J15" i="14" s="1"/>
  <c r="L64" i="14"/>
  <c r="E29" i="13"/>
  <c r="F29" i="13" s="1"/>
  <c r="E30" i="13"/>
  <c r="F30" i="13" s="1"/>
  <c r="E31" i="13"/>
  <c r="F31" i="13" s="1"/>
  <c r="E32" i="13"/>
  <c r="F32" i="13" s="1"/>
  <c r="E33" i="13"/>
  <c r="F33" i="13" s="1"/>
  <c r="E34" i="13"/>
  <c r="F34" i="13" s="1"/>
  <c r="E35" i="13"/>
  <c r="F35" i="13" s="1"/>
  <c r="J37" i="13"/>
  <c r="J38" i="13" s="1"/>
  <c r="K37" i="13"/>
  <c r="K38" i="13" s="1"/>
  <c r="H37" i="26" l="1"/>
  <c r="H50" i="26" s="1"/>
  <c r="I37" i="26"/>
  <c r="I50" i="26" s="1"/>
  <c r="F37" i="18"/>
  <c r="F50" i="18" s="1"/>
  <c r="C37" i="18"/>
  <c r="I34" i="23"/>
  <c r="I47" i="23" s="1"/>
  <c r="D34" i="23"/>
  <c r="D47" i="23" s="1"/>
  <c r="E34" i="23"/>
  <c r="E47" i="23" s="1"/>
  <c r="H38" i="17"/>
  <c r="H51" i="17" s="1"/>
  <c r="D37" i="15"/>
  <c r="G37" i="15"/>
  <c r="G50" i="15" s="1"/>
  <c r="C37" i="15"/>
  <c r="I37" i="19"/>
  <c r="I50" i="19" s="1"/>
  <c r="F32" i="17"/>
  <c r="F45" i="17" s="1"/>
  <c r="D32" i="17"/>
  <c r="D45" i="17" s="1"/>
  <c r="E32" i="17"/>
  <c r="E45" i="17" s="1"/>
  <c r="I35" i="28"/>
  <c r="I48" i="28" s="1"/>
  <c r="E35" i="28"/>
  <c r="E48" i="28" s="1"/>
  <c r="C35" i="28"/>
  <c r="I36" i="27"/>
  <c r="I49" i="27" s="1"/>
  <c r="E36" i="27"/>
  <c r="E49" i="27" s="1"/>
  <c r="H36" i="27"/>
  <c r="H49" i="27" s="1"/>
  <c r="E35" i="17"/>
  <c r="E48" i="17" s="1"/>
  <c r="E35" i="19"/>
  <c r="E48" i="19" s="1"/>
  <c r="F35" i="19"/>
  <c r="F48" i="19" s="1"/>
  <c r="I35" i="19"/>
  <c r="I48" i="19" s="1"/>
  <c r="C36" i="22"/>
  <c r="G36" i="22"/>
  <c r="G49" i="22" s="1"/>
  <c r="F36" i="22"/>
  <c r="F49" i="22" s="1"/>
  <c r="D35" i="18"/>
  <c r="D48" i="18" s="1"/>
  <c r="E35" i="18"/>
  <c r="E48" i="18" s="1"/>
  <c r="G33" i="22"/>
  <c r="G46" i="22" s="1"/>
  <c r="C33" i="22"/>
  <c r="D33" i="22"/>
  <c r="D46" i="22" s="1"/>
  <c r="I38" i="18"/>
  <c r="I51" i="18" s="1"/>
  <c r="G38" i="18"/>
  <c r="G51" i="18" s="1"/>
  <c r="H38" i="18"/>
  <c r="H51" i="18" s="1"/>
  <c r="C38" i="18"/>
  <c r="D38" i="18"/>
  <c r="D51" i="18" s="1"/>
  <c r="E38" i="18"/>
  <c r="E51" i="18" s="1"/>
  <c r="F38" i="18"/>
  <c r="F51" i="18" s="1"/>
  <c r="L70" i="14"/>
  <c r="D38" i="17"/>
  <c r="D51" i="17" s="1"/>
  <c r="J23" i="17"/>
  <c r="H34" i="23"/>
  <c r="H47" i="23" s="1"/>
  <c r="J21" i="26"/>
  <c r="AC21" i="8"/>
  <c r="AA12" i="10"/>
  <c r="AA21" i="10" s="1"/>
  <c r="G12" i="4" s="1"/>
  <c r="L69" i="14"/>
  <c r="H36" i="16"/>
  <c r="H49" i="16" s="1"/>
  <c r="I35" i="17"/>
  <c r="I48" i="17" s="1"/>
  <c r="J25" i="19"/>
  <c r="E32" i="23"/>
  <c r="E45" i="23" s="1"/>
  <c r="J22" i="27"/>
  <c r="H34" i="27" s="1"/>
  <c r="H47" i="27" s="1"/>
  <c r="P8" i="4"/>
  <c r="AC22" i="8"/>
  <c r="AA13" i="10"/>
  <c r="AA27" i="10" s="1"/>
  <c r="M12" i="4" s="1"/>
  <c r="L68" i="14"/>
  <c r="AC23" i="8"/>
  <c r="AA14" i="10"/>
  <c r="AA25" i="10" s="1"/>
  <c r="K12" i="4" s="1"/>
  <c r="L67" i="14"/>
  <c r="F35" i="18"/>
  <c r="F48" i="18" s="1"/>
  <c r="J20" i="23"/>
  <c r="H32" i="23" s="1"/>
  <c r="H45" i="23" s="1"/>
  <c r="C33" i="6"/>
  <c r="C16" i="6"/>
  <c r="AC24" i="8"/>
  <c r="AA22" i="9"/>
  <c r="AA42" i="9" s="1"/>
  <c r="K11" i="4" s="1"/>
  <c r="L66" i="14"/>
  <c r="J24" i="20"/>
  <c r="I36" i="20" s="1"/>
  <c r="I49" i="20" s="1"/>
  <c r="J23" i="21"/>
  <c r="L73" i="29"/>
  <c r="AC25" i="8"/>
  <c r="J23" i="16"/>
  <c r="G35" i="16" s="1"/>
  <c r="G48" i="16" s="1"/>
  <c r="J26" i="19"/>
  <c r="J25" i="21"/>
  <c r="D36" i="27"/>
  <c r="D49" i="27" s="1"/>
  <c r="L65" i="29"/>
  <c r="C36" i="6"/>
  <c r="M26" i="5"/>
  <c r="M46" i="5" s="1"/>
  <c r="M9" i="4" s="1"/>
  <c r="AC27" i="8"/>
  <c r="AA9" i="9"/>
  <c r="AA35" i="9" s="1"/>
  <c r="D11" i="4" s="1"/>
  <c r="AA25" i="9"/>
  <c r="I32" i="17"/>
  <c r="I45" i="17" s="1"/>
  <c r="J20" i="26"/>
  <c r="C32" i="26" s="1"/>
  <c r="I39" i="27"/>
  <c r="I52" i="27" s="1"/>
  <c r="L61" i="29"/>
  <c r="C63" i="6"/>
  <c r="C37" i="6"/>
  <c r="M27" i="5"/>
  <c r="M48" i="5" s="1"/>
  <c r="O9" i="4" s="1"/>
  <c r="AA10" i="9"/>
  <c r="AA26" i="9"/>
  <c r="J25" i="23"/>
  <c r="L57" i="29"/>
  <c r="G32" i="17"/>
  <c r="G45" i="17" s="1"/>
  <c r="J26" i="18"/>
  <c r="F39" i="18" s="1"/>
  <c r="F52" i="18" s="1"/>
  <c r="E37" i="18"/>
  <c r="E50" i="18" s="1"/>
  <c r="J21" i="20"/>
  <c r="G35" i="28"/>
  <c r="G48" i="28" s="1"/>
  <c r="D37" i="18"/>
  <c r="D50" i="18" s="1"/>
  <c r="J24" i="21"/>
  <c r="C37" i="25"/>
  <c r="F35" i="28"/>
  <c r="F48" i="28" s="1"/>
  <c r="L49" i="29"/>
  <c r="AC15" i="8"/>
  <c r="AC33" i="8" s="1"/>
  <c r="F10" i="4" s="1"/>
  <c r="AA6" i="10"/>
  <c r="AA23" i="10" s="1"/>
  <c r="I12" i="4" s="1"/>
  <c r="J24" i="26"/>
  <c r="E39" i="27"/>
  <c r="E52" i="27" s="1"/>
  <c r="L45" i="29"/>
  <c r="C57" i="6"/>
  <c r="C41" i="6"/>
  <c r="M15" i="5"/>
  <c r="M37" i="5" s="1"/>
  <c r="M31" i="5"/>
  <c r="AC16" i="8"/>
  <c r="AA14" i="9"/>
  <c r="AA30" i="9"/>
  <c r="AA7" i="10"/>
  <c r="AA24" i="10" s="1"/>
  <c r="J12" i="4" s="1"/>
  <c r="J21" i="16"/>
  <c r="J23" i="20"/>
  <c r="F37" i="23"/>
  <c r="F50" i="23" s="1"/>
  <c r="J25" i="24"/>
  <c r="J26" i="26"/>
  <c r="I38" i="26" s="1"/>
  <c r="I51" i="26" s="1"/>
  <c r="D35" i="28"/>
  <c r="D48" i="28" s="1"/>
  <c r="J20" i="28"/>
  <c r="D32" i="28" s="1"/>
  <c r="D45" i="28" s="1"/>
  <c r="L41" i="29"/>
  <c r="AC17" i="8"/>
  <c r="AC30" i="8" s="1"/>
  <c r="C10" i="4" s="1"/>
  <c r="AA8" i="10"/>
  <c r="AA20" i="10" s="1"/>
  <c r="F12" i="4" s="1"/>
  <c r="Q12" i="4" s="1"/>
  <c r="L37" i="29"/>
  <c r="C60" i="6"/>
  <c r="C27" i="6"/>
  <c r="M17" i="5"/>
  <c r="M44" i="5" s="1"/>
  <c r="K9" i="4" s="1"/>
  <c r="AC18" i="8"/>
  <c r="AA16" i="9"/>
  <c r="AA9" i="10"/>
  <c r="AA26" i="10" s="1"/>
  <c r="L12" i="4" s="1"/>
  <c r="J25" i="20"/>
  <c r="J21" i="24"/>
  <c r="F33" i="24" s="1"/>
  <c r="F46" i="24" s="1"/>
  <c r="J20" i="25"/>
  <c r="F32" i="25" s="1"/>
  <c r="F45" i="25" s="1"/>
  <c r="J25" i="28"/>
  <c r="J26" i="27"/>
  <c r="D38" i="27" s="1"/>
  <c r="D51" i="27" s="1"/>
  <c r="AC19" i="8"/>
  <c r="AA10" i="10"/>
  <c r="AA30" i="10" s="1"/>
  <c r="P12" i="4" s="1"/>
  <c r="J24" i="16"/>
  <c r="J26" i="21"/>
  <c r="H38" i="21" s="1"/>
  <c r="H51" i="21" s="1"/>
  <c r="J21" i="21"/>
  <c r="J26" i="22"/>
  <c r="F38" i="22" s="1"/>
  <c r="F51" i="22" s="1"/>
  <c r="C51" i="6"/>
  <c r="Q21" i="15"/>
  <c r="Q23" i="15"/>
  <c r="Q20" i="15"/>
  <c r="Q19" i="15"/>
  <c r="Q29" i="15" s="1"/>
  <c r="C51" i="17"/>
  <c r="C44" i="17"/>
  <c r="D8" i="17"/>
  <c r="E8" i="17" s="1"/>
  <c r="R22" i="15"/>
  <c r="R21" i="15"/>
  <c r="R20" i="15"/>
  <c r="R23" i="15"/>
  <c r="C50" i="18"/>
  <c r="N35" i="14"/>
  <c r="N42" i="14"/>
  <c r="N67" i="14"/>
  <c r="N60" i="14"/>
  <c r="N33" i="14"/>
  <c r="N44" i="14"/>
  <c r="N71" i="14"/>
  <c r="N51" i="14"/>
  <c r="N37" i="14"/>
  <c r="N45" i="14"/>
  <c r="N49" i="14"/>
  <c r="N53" i="14"/>
  <c r="N57" i="14"/>
  <c r="N61" i="14"/>
  <c r="N66" i="14"/>
  <c r="N36" i="14"/>
  <c r="N41" i="14"/>
  <c r="N48" i="14"/>
  <c r="N47" i="14"/>
  <c r="N59" i="14"/>
  <c r="N63" i="14"/>
  <c r="N65" i="14"/>
  <c r="N56" i="14"/>
  <c r="N39" i="14"/>
  <c r="N64" i="14"/>
  <c r="N70" i="14"/>
  <c r="N69" i="14"/>
  <c r="N32" i="14"/>
  <c r="N38" i="14"/>
  <c r="N46" i="14"/>
  <c r="N50" i="14"/>
  <c r="N54" i="14"/>
  <c r="N58" i="14"/>
  <c r="N62" i="14"/>
  <c r="N68" i="14"/>
  <c r="N52" i="14"/>
  <c r="N55" i="14"/>
  <c r="N43" i="14"/>
  <c r="M34" i="14"/>
  <c r="M37" i="14"/>
  <c r="M45" i="14"/>
  <c r="M49" i="14"/>
  <c r="M53" i="14"/>
  <c r="M57" i="14"/>
  <c r="M61" i="14"/>
  <c r="R64" i="14"/>
  <c r="M66" i="14"/>
  <c r="R71" i="14"/>
  <c r="R55" i="14"/>
  <c r="M65" i="14"/>
  <c r="R70" i="14"/>
  <c r="M44" i="14"/>
  <c r="R54" i="14"/>
  <c r="M71" i="14"/>
  <c r="M63" i="14"/>
  <c r="R45" i="14"/>
  <c r="R61" i="14"/>
  <c r="M69" i="14"/>
  <c r="M46" i="14"/>
  <c r="M62" i="14"/>
  <c r="M68" i="14"/>
  <c r="S68" i="14" s="1"/>
  <c r="W69" i="14" s="1"/>
  <c r="AF69" i="14" s="1"/>
  <c r="R47" i="14"/>
  <c r="R51" i="14"/>
  <c r="R59" i="14"/>
  <c r="R63" i="14"/>
  <c r="R58" i="14"/>
  <c r="R67" i="14"/>
  <c r="R37" i="14"/>
  <c r="R53" i="14"/>
  <c r="M38" i="14"/>
  <c r="M50" i="14"/>
  <c r="R65" i="14"/>
  <c r="R40" i="14"/>
  <c r="R43" i="14"/>
  <c r="M48" i="14"/>
  <c r="M52" i="14"/>
  <c r="M56" i="14"/>
  <c r="M60" i="14"/>
  <c r="R69" i="14"/>
  <c r="R50" i="14"/>
  <c r="R62" i="14"/>
  <c r="R42" i="14"/>
  <c r="M47" i="14"/>
  <c r="M43" i="14"/>
  <c r="R57" i="14"/>
  <c r="R39" i="14"/>
  <c r="M54" i="14"/>
  <c r="R36" i="14"/>
  <c r="R41" i="14"/>
  <c r="R48" i="14"/>
  <c r="R52" i="14"/>
  <c r="R56" i="14"/>
  <c r="R60" i="14"/>
  <c r="M67" i="14"/>
  <c r="M33" i="14"/>
  <c r="M39" i="14"/>
  <c r="R46" i="14"/>
  <c r="M64" i="14"/>
  <c r="R68" i="14"/>
  <c r="M51" i="14"/>
  <c r="M55" i="14"/>
  <c r="M59" i="14"/>
  <c r="M70" i="14"/>
  <c r="R49" i="14"/>
  <c r="R66" i="14"/>
  <c r="M58" i="14"/>
  <c r="O33" i="14"/>
  <c r="O32" i="14"/>
  <c r="O38" i="14"/>
  <c r="O46" i="14"/>
  <c r="O50" i="14"/>
  <c r="O54" i="14"/>
  <c r="O58" i="14"/>
  <c r="O62" i="14"/>
  <c r="O68" i="14"/>
  <c r="O65" i="14"/>
  <c r="O48" i="14"/>
  <c r="O56" i="14"/>
  <c r="O51" i="14"/>
  <c r="O42" i="14"/>
  <c r="O60" i="14"/>
  <c r="O55" i="14"/>
  <c r="O70" i="14"/>
  <c r="O37" i="14"/>
  <c r="O45" i="14"/>
  <c r="O49" i="14"/>
  <c r="O53" i="14"/>
  <c r="O57" i="14"/>
  <c r="O61" i="14"/>
  <c r="O66" i="14"/>
  <c r="O31" i="14"/>
  <c r="O52" i="14"/>
  <c r="O64" i="14"/>
  <c r="O47" i="14"/>
  <c r="O59" i="14"/>
  <c r="O40" i="14"/>
  <c r="O43" i="14"/>
  <c r="O69" i="14"/>
  <c r="O67" i="14"/>
  <c r="O36" i="14"/>
  <c r="O41" i="14"/>
  <c r="O44" i="14"/>
  <c r="O71" i="14"/>
  <c r="O63" i="14"/>
  <c r="Q47" i="14"/>
  <c r="Q51" i="14"/>
  <c r="Q55" i="14"/>
  <c r="Q59" i="14"/>
  <c r="Q63" i="14"/>
  <c r="Q70" i="14"/>
  <c r="Q53" i="14"/>
  <c r="Q66" i="14"/>
  <c r="Q65" i="14"/>
  <c r="Q36" i="14"/>
  <c r="Q41" i="14"/>
  <c r="Q56" i="14"/>
  <c r="Q40" i="14"/>
  <c r="Q43" i="14"/>
  <c r="Q49" i="14"/>
  <c r="Q60" i="14"/>
  <c r="Q32" i="14"/>
  <c r="Q35" i="14"/>
  <c r="Q38" i="14"/>
  <c r="Q46" i="14"/>
  <c r="Q50" i="14"/>
  <c r="Q54" i="14"/>
  <c r="Q58" i="14"/>
  <c r="Q62" i="14"/>
  <c r="Q68" i="14"/>
  <c r="Q42" i="14"/>
  <c r="Q67" i="14"/>
  <c r="Q37" i="14"/>
  <c r="Q57" i="14"/>
  <c r="Q61" i="14"/>
  <c r="Q39" i="14"/>
  <c r="Q31" i="14"/>
  <c r="Q34" i="14"/>
  <c r="Q44" i="14"/>
  <c r="Q64" i="14"/>
  <c r="Q71" i="14"/>
  <c r="Q69" i="14"/>
  <c r="Q45" i="14"/>
  <c r="Q33" i="14"/>
  <c r="Q48" i="14"/>
  <c r="Q52" i="14"/>
  <c r="P33" i="14"/>
  <c r="P40" i="14"/>
  <c r="P43" i="14"/>
  <c r="P69" i="14"/>
  <c r="S69" i="14" s="1"/>
  <c r="P62" i="14"/>
  <c r="P37" i="14"/>
  <c r="P49" i="14"/>
  <c r="P36" i="14"/>
  <c r="P56" i="14"/>
  <c r="P71" i="14"/>
  <c r="P32" i="14"/>
  <c r="P35" i="14"/>
  <c r="P38" i="14"/>
  <c r="P46" i="14"/>
  <c r="P50" i="14"/>
  <c r="P54" i="14"/>
  <c r="P58" i="14"/>
  <c r="P68" i="14"/>
  <c r="P45" i="14"/>
  <c r="P53" i="14"/>
  <c r="P61" i="14"/>
  <c r="P66" i="14"/>
  <c r="P44" i="14"/>
  <c r="P42" i="14"/>
  <c r="P67" i="14"/>
  <c r="P48" i="14"/>
  <c r="P52" i="14"/>
  <c r="P64" i="14"/>
  <c r="P31" i="14"/>
  <c r="P47" i="14"/>
  <c r="P51" i="14"/>
  <c r="P55" i="14"/>
  <c r="P59" i="14"/>
  <c r="P63" i="14"/>
  <c r="P70" i="14"/>
  <c r="S70" i="14" s="1"/>
  <c r="X70" i="14" s="1"/>
  <c r="AG70" i="14" s="1"/>
  <c r="P57" i="14"/>
  <c r="P65" i="14"/>
  <c r="P41" i="14"/>
  <c r="P60" i="14"/>
  <c r="P34" i="14"/>
  <c r="I12" i="16"/>
  <c r="I13" i="16" s="1"/>
  <c r="E14" i="14"/>
  <c r="F12" i="14" s="1"/>
  <c r="M32" i="15"/>
  <c r="N21" i="15"/>
  <c r="N19" i="15"/>
  <c r="N29" i="15" s="1"/>
  <c r="N20" i="15"/>
  <c r="N23" i="15"/>
  <c r="N22" i="15"/>
  <c r="N32" i="15" s="1"/>
  <c r="M20" i="15"/>
  <c r="M21" i="15"/>
  <c r="M31" i="15" s="1"/>
  <c r="M23" i="15"/>
  <c r="D8" i="4"/>
  <c r="E8" i="4"/>
  <c r="F8" i="4"/>
  <c r="L8" i="4"/>
  <c r="O8" i="4"/>
  <c r="AA30" i="3"/>
  <c r="H8" i="4"/>
  <c r="I8" i="4"/>
  <c r="J8" i="4"/>
  <c r="M8" i="4"/>
  <c r="N8" i="4"/>
  <c r="C8" i="4"/>
  <c r="G36" i="27"/>
  <c r="G49" i="27" s="1"/>
  <c r="F36" i="27"/>
  <c r="F49" i="27" s="1"/>
  <c r="C36" i="27"/>
  <c r="G34" i="27"/>
  <c r="G47" i="27" s="1"/>
  <c r="E34" i="27"/>
  <c r="E47" i="27" s="1"/>
  <c r="F34" i="27"/>
  <c r="F47" i="27" s="1"/>
  <c r="F37" i="13"/>
  <c r="G35" i="13" s="1"/>
  <c r="F38" i="26"/>
  <c r="F51" i="26" s="1"/>
  <c r="H38" i="26"/>
  <c r="H51" i="26" s="1"/>
  <c r="E38" i="26"/>
  <c r="E51" i="26" s="1"/>
  <c r="C38" i="26"/>
  <c r="E33" i="26"/>
  <c r="E46" i="26" s="1"/>
  <c r="F33" i="26"/>
  <c r="F46" i="26" s="1"/>
  <c r="G33" i="26"/>
  <c r="G46" i="26" s="1"/>
  <c r="H33" i="26"/>
  <c r="H46" i="26" s="1"/>
  <c r="D33" i="26"/>
  <c r="D46" i="26" s="1"/>
  <c r="R29" i="15"/>
  <c r="L35" i="14"/>
  <c r="L41" i="14"/>
  <c r="L47" i="14"/>
  <c r="L53" i="14"/>
  <c r="L59" i="14"/>
  <c r="L65" i="14"/>
  <c r="L36" i="14"/>
  <c r="L42" i="14"/>
  <c r="L48" i="14"/>
  <c r="L54" i="14"/>
  <c r="L60" i="14"/>
  <c r="L31" i="14"/>
  <c r="L37" i="14"/>
  <c r="L43" i="14"/>
  <c r="L49" i="14"/>
  <c r="L55" i="14"/>
  <c r="L61" i="14"/>
  <c r="L32" i="14"/>
  <c r="L38" i="14"/>
  <c r="L44" i="14"/>
  <c r="L50" i="14"/>
  <c r="L56" i="14"/>
  <c r="L62" i="14"/>
  <c r="L33" i="14"/>
  <c r="L39" i="14"/>
  <c r="L45" i="14"/>
  <c r="L51" i="14"/>
  <c r="L57" i="14"/>
  <c r="L34" i="14"/>
  <c r="L40" i="14"/>
  <c r="L46" i="14"/>
  <c r="L52" i="14"/>
  <c r="L58" i="14"/>
  <c r="D50" i="15"/>
  <c r="P20" i="15"/>
  <c r="P23" i="15"/>
  <c r="P22" i="15"/>
  <c r="P19" i="15"/>
  <c r="P21" i="15"/>
  <c r="C38" i="15"/>
  <c r="C51" i="15" s="1"/>
  <c r="D38" i="15"/>
  <c r="D51" i="15" s="1"/>
  <c r="E38" i="15"/>
  <c r="E51" i="15" s="1"/>
  <c r="F38" i="15"/>
  <c r="F51" i="15" s="1"/>
  <c r="G38" i="15"/>
  <c r="G51" i="15" s="1"/>
  <c r="I38" i="15"/>
  <c r="I51" i="15" s="1"/>
  <c r="E33" i="17"/>
  <c r="E46" i="17" s="1"/>
  <c r="L63" i="14"/>
  <c r="J20" i="16"/>
  <c r="I32" i="16" s="1"/>
  <c r="I45" i="16" s="1"/>
  <c r="R31" i="14"/>
  <c r="H33" i="21"/>
  <c r="H46" i="21" s="1"/>
  <c r="I33" i="21"/>
  <c r="I46" i="21" s="1"/>
  <c r="C33" i="21"/>
  <c r="D33" i="21"/>
  <c r="D46" i="21" s="1"/>
  <c r="E33" i="21"/>
  <c r="E46" i="21" s="1"/>
  <c r="G33" i="21"/>
  <c r="G46" i="21" s="1"/>
  <c r="F33" i="21"/>
  <c r="F46" i="21" s="1"/>
  <c r="J23" i="15"/>
  <c r="C36" i="15" s="1"/>
  <c r="C49" i="15" s="1"/>
  <c r="C34" i="16"/>
  <c r="C47" i="16" s="1"/>
  <c r="D34" i="16"/>
  <c r="D47" i="16" s="1"/>
  <c r="E34" i="16"/>
  <c r="E47" i="16" s="1"/>
  <c r="F34" i="16"/>
  <c r="F47" i="16" s="1"/>
  <c r="G34" i="16"/>
  <c r="G47" i="16" s="1"/>
  <c r="M32" i="14"/>
  <c r="J25" i="16"/>
  <c r="F37" i="16" s="1"/>
  <c r="F50" i="16" s="1"/>
  <c r="I34" i="16"/>
  <c r="I47" i="16" s="1"/>
  <c r="J21" i="17"/>
  <c r="D33" i="17" s="1"/>
  <c r="D46" i="17" s="1"/>
  <c r="R35" i="14"/>
  <c r="N31" i="14"/>
  <c r="C36" i="16"/>
  <c r="C49" i="16" s="1"/>
  <c r="D36" i="16"/>
  <c r="D49" i="16" s="1"/>
  <c r="E36" i="16"/>
  <c r="E49" i="16" s="1"/>
  <c r="F36" i="16"/>
  <c r="F49" i="16" s="1"/>
  <c r="G36" i="16"/>
  <c r="G49" i="16" s="1"/>
  <c r="I36" i="16"/>
  <c r="I49" i="16" s="1"/>
  <c r="H34" i="16"/>
  <c r="H47" i="16" s="1"/>
  <c r="C34" i="18"/>
  <c r="D34" i="18"/>
  <c r="D47" i="18" s="1"/>
  <c r="E34" i="18"/>
  <c r="E47" i="18" s="1"/>
  <c r="F34" i="18"/>
  <c r="F47" i="18" s="1"/>
  <c r="G34" i="18"/>
  <c r="G47" i="18" s="1"/>
  <c r="H34" i="18"/>
  <c r="H47" i="18" s="1"/>
  <c r="I34" i="18"/>
  <c r="I47" i="18" s="1"/>
  <c r="M31" i="14"/>
  <c r="C36" i="17"/>
  <c r="C49" i="17" s="1"/>
  <c r="F34" i="17"/>
  <c r="F47" i="17" s="1"/>
  <c r="C36" i="18"/>
  <c r="D36" i="18"/>
  <c r="D49" i="18" s="1"/>
  <c r="E36" i="18"/>
  <c r="E49" i="18" s="1"/>
  <c r="F36" i="18"/>
  <c r="F49" i="18" s="1"/>
  <c r="G36" i="18"/>
  <c r="G49" i="18" s="1"/>
  <c r="H36" i="18"/>
  <c r="H49" i="18" s="1"/>
  <c r="J23" i="24"/>
  <c r="R34" i="14"/>
  <c r="E37" i="15"/>
  <c r="E50" i="15" s="1"/>
  <c r="F37" i="15"/>
  <c r="F50" i="15" s="1"/>
  <c r="H37" i="15"/>
  <c r="I37" i="15"/>
  <c r="I50" i="15" s="1"/>
  <c r="S19" i="15"/>
  <c r="S21" i="15"/>
  <c r="S20" i="15"/>
  <c r="S23" i="15"/>
  <c r="S22" i="15"/>
  <c r="E34" i="17"/>
  <c r="E47" i="17" s="1"/>
  <c r="M42" i="14"/>
  <c r="M36" i="14"/>
  <c r="O35" i="14"/>
  <c r="C50" i="15"/>
  <c r="C38" i="16"/>
  <c r="C51" i="16" s="1"/>
  <c r="D38" i="16"/>
  <c r="D51" i="16" s="1"/>
  <c r="E38" i="16"/>
  <c r="E51" i="16" s="1"/>
  <c r="F38" i="16"/>
  <c r="F51" i="16" s="1"/>
  <c r="G38" i="16"/>
  <c r="G51" i="16" s="1"/>
  <c r="H38" i="16"/>
  <c r="H51" i="16" s="1"/>
  <c r="C32" i="20"/>
  <c r="D32" i="20"/>
  <c r="D45" i="20" s="1"/>
  <c r="E32" i="20"/>
  <c r="E45" i="20" s="1"/>
  <c r="F32" i="20"/>
  <c r="F45" i="20" s="1"/>
  <c r="H32" i="20"/>
  <c r="H45" i="20" s="1"/>
  <c r="R33" i="14"/>
  <c r="H38" i="15"/>
  <c r="H51" i="15" s="1"/>
  <c r="D48" i="15"/>
  <c r="N31" i="15"/>
  <c r="O20" i="15"/>
  <c r="O23" i="15"/>
  <c r="O22" i="15"/>
  <c r="O19" i="15"/>
  <c r="J22" i="17"/>
  <c r="C34" i="17" s="1"/>
  <c r="C47" i="17" s="1"/>
  <c r="H35" i="18"/>
  <c r="H48" i="18" s="1"/>
  <c r="C35" i="18"/>
  <c r="C48" i="18" s="1"/>
  <c r="D37" i="20"/>
  <c r="D50" i="20" s="1"/>
  <c r="F37" i="20"/>
  <c r="F50" i="20" s="1"/>
  <c r="G37" i="20"/>
  <c r="G50" i="20" s="1"/>
  <c r="H37" i="20"/>
  <c r="H50" i="20" s="1"/>
  <c r="I37" i="20"/>
  <c r="I50" i="20" s="1"/>
  <c r="C37" i="20"/>
  <c r="D32" i="25"/>
  <c r="D45" i="25" s="1"/>
  <c r="E32" i="25"/>
  <c r="E45" i="25" s="1"/>
  <c r="G32" i="25"/>
  <c r="G45" i="25" s="1"/>
  <c r="M41" i="14"/>
  <c r="M35" i="14"/>
  <c r="O34" i="14"/>
  <c r="J26" i="15"/>
  <c r="G39" i="15"/>
  <c r="I38" i="16"/>
  <c r="I51" i="16" s="1"/>
  <c r="J27" i="18"/>
  <c r="G40" i="18" s="1"/>
  <c r="G53" i="18" s="1"/>
  <c r="I35" i="18"/>
  <c r="I48" i="18" s="1"/>
  <c r="R44" i="14"/>
  <c r="N40" i="14"/>
  <c r="P39" i="14"/>
  <c r="R38" i="14"/>
  <c r="N34" i="14"/>
  <c r="R32" i="14"/>
  <c r="G35" i="15"/>
  <c r="G48" i="15" s="1"/>
  <c r="H35" i="15"/>
  <c r="J25" i="17"/>
  <c r="H37" i="17" s="1"/>
  <c r="H50" i="17" s="1"/>
  <c r="D39" i="18"/>
  <c r="D52" i="18" s="1"/>
  <c r="I39" i="18"/>
  <c r="I52" i="18" s="1"/>
  <c r="I37" i="18"/>
  <c r="I50" i="18" s="1"/>
  <c r="G35" i="18"/>
  <c r="G48" i="18" s="1"/>
  <c r="J21" i="19"/>
  <c r="M40" i="14"/>
  <c r="O39" i="14"/>
  <c r="H35" i="16"/>
  <c r="H48" i="16" s="1"/>
  <c r="C35" i="16"/>
  <c r="C48" i="16" s="1"/>
  <c r="D35" i="16"/>
  <c r="D48" i="16" s="1"/>
  <c r="E35" i="16"/>
  <c r="E48" i="16" s="1"/>
  <c r="G37" i="18"/>
  <c r="G50" i="18" s="1"/>
  <c r="F37" i="21"/>
  <c r="F50" i="21" s="1"/>
  <c r="G37" i="21"/>
  <c r="G50" i="21" s="1"/>
  <c r="H37" i="21"/>
  <c r="H50" i="21" s="1"/>
  <c r="I37" i="21"/>
  <c r="I50" i="21" s="1"/>
  <c r="J20" i="15"/>
  <c r="D33" i="15" s="1"/>
  <c r="G33" i="16"/>
  <c r="G46" i="16" s="1"/>
  <c r="I38" i="17"/>
  <c r="I51" i="17" s="1"/>
  <c r="F35" i="17"/>
  <c r="F48" i="17" s="1"/>
  <c r="C32" i="17"/>
  <c r="C45" i="17" s="1"/>
  <c r="D32" i="19"/>
  <c r="D45" i="19" s="1"/>
  <c r="E32" i="19"/>
  <c r="E45" i="19" s="1"/>
  <c r="F32" i="19"/>
  <c r="F45" i="19" s="1"/>
  <c r="G32" i="19"/>
  <c r="G45" i="19" s="1"/>
  <c r="H32" i="19"/>
  <c r="H45" i="19" s="1"/>
  <c r="I32" i="19"/>
  <c r="I45" i="19" s="1"/>
  <c r="F35" i="21"/>
  <c r="F48" i="21" s="1"/>
  <c r="C35" i="21"/>
  <c r="E35" i="21"/>
  <c r="E48" i="21" s="1"/>
  <c r="D32" i="23"/>
  <c r="D45" i="23" s="1"/>
  <c r="D33" i="24"/>
  <c r="D46" i="24" s="1"/>
  <c r="J24" i="19"/>
  <c r="F35" i="20"/>
  <c r="F48" i="20" s="1"/>
  <c r="G35" i="20"/>
  <c r="G48" i="20" s="1"/>
  <c r="H35" i="20"/>
  <c r="H48" i="20" s="1"/>
  <c r="C35" i="20"/>
  <c r="E35" i="20"/>
  <c r="E48" i="20" s="1"/>
  <c r="F32" i="23"/>
  <c r="F45" i="23" s="1"/>
  <c r="G32" i="23"/>
  <c r="G45" i="23" s="1"/>
  <c r="D38" i="24"/>
  <c r="D51" i="24" s="1"/>
  <c r="C34" i="25"/>
  <c r="E34" i="25"/>
  <c r="E47" i="25" s="1"/>
  <c r="J21" i="15"/>
  <c r="E33" i="16"/>
  <c r="E46" i="16" s="1"/>
  <c r="G38" i="17"/>
  <c r="G51" i="17" s="1"/>
  <c r="D35" i="17"/>
  <c r="D48" i="17" s="1"/>
  <c r="G35" i="19"/>
  <c r="G48" i="19" s="1"/>
  <c r="H35" i="19"/>
  <c r="H48" i="19" s="1"/>
  <c r="C35" i="19"/>
  <c r="D35" i="19"/>
  <c r="D48" i="19" s="1"/>
  <c r="J22" i="19"/>
  <c r="G34" i="19" s="1"/>
  <c r="G47" i="19" s="1"/>
  <c r="H33" i="20"/>
  <c r="H46" i="20" s="1"/>
  <c r="I33" i="20"/>
  <c r="I46" i="20" s="1"/>
  <c r="C33" i="20"/>
  <c r="D33" i="20"/>
  <c r="D46" i="20" s="1"/>
  <c r="E33" i="20"/>
  <c r="E46" i="20" s="1"/>
  <c r="G33" i="20"/>
  <c r="G46" i="20" s="1"/>
  <c r="C36" i="21"/>
  <c r="D36" i="21"/>
  <c r="D49" i="21" s="1"/>
  <c r="E36" i="21"/>
  <c r="E49" i="21" s="1"/>
  <c r="F36" i="21"/>
  <c r="F49" i="21" s="1"/>
  <c r="G36" i="21"/>
  <c r="G49" i="21" s="1"/>
  <c r="H36" i="21"/>
  <c r="H49" i="21" s="1"/>
  <c r="H38" i="22"/>
  <c r="H51" i="22" s="1"/>
  <c r="J26" i="24"/>
  <c r="I34" i="25"/>
  <c r="I47" i="25" s="1"/>
  <c r="J26" i="28"/>
  <c r="G38" i="28" s="1"/>
  <c r="G51" i="28" s="1"/>
  <c r="E37" i="28"/>
  <c r="E50" i="28" s="1"/>
  <c r="G37" i="28"/>
  <c r="G50" i="28" s="1"/>
  <c r="H37" i="28"/>
  <c r="H50" i="28" s="1"/>
  <c r="I37" i="28"/>
  <c r="I50" i="28" s="1"/>
  <c r="C37" i="28"/>
  <c r="M19" i="15"/>
  <c r="F38" i="17"/>
  <c r="F51" i="17" s="1"/>
  <c r="H39" i="18"/>
  <c r="H52" i="18" s="1"/>
  <c r="C38" i="21"/>
  <c r="D38" i="21"/>
  <c r="D51" i="21" s="1"/>
  <c r="E38" i="21"/>
  <c r="E51" i="21" s="1"/>
  <c r="F38" i="21"/>
  <c r="F51" i="21" s="1"/>
  <c r="J20" i="22"/>
  <c r="F33" i="23"/>
  <c r="F46" i="23" s="1"/>
  <c r="C37" i="24"/>
  <c r="F37" i="24"/>
  <c r="F50" i="24" s="1"/>
  <c r="G37" i="24"/>
  <c r="G50" i="24" s="1"/>
  <c r="D37" i="25"/>
  <c r="D50" i="25" s="1"/>
  <c r="E37" i="25"/>
  <c r="E50" i="25" s="1"/>
  <c r="F37" i="25"/>
  <c r="F50" i="25" s="1"/>
  <c r="H34" i="25"/>
  <c r="H47" i="25" s="1"/>
  <c r="J21" i="25"/>
  <c r="D33" i="25" s="1"/>
  <c r="D46" i="25" s="1"/>
  <c r="E38" i="17"/>
  <c r="E51" i="17" s="1"/>
  <c r="J26" i="20"/>
  <c r="I38" i="20" s="1"/>
  <c r="I51" i="20" s="1"/>
  <c r="I32" i="20"/>
  <c r="I45" i="20" s="1"/>
  <c r="J24" i="24"/>
  <c r="E36" i="24" s="1"/>
  <c r="E49" i="24" s="1"/>
  <c r="G37" i="25"/>
  <c r="G50" i="25" s="1"/>
  <c r="I37" i="25"/>
  <c r="I50" i="25" s="1"/>
  <c r="G34" i="25"/>
  <c r="G47" i="25" s="1"/>
  <c r="I32" i="25"/>
  <c r="I45" i="25" s="1"/>
  <c r="Q22" i="15"/>
  <c r="C33" i="17"/>
  <c r="C46" i="17" s="1"/>
  <c r="J24" i="17"/>
  <c r="E36" i="17" s="1"/>
  <c r="E49" i="17" s="1"/>
  <c r="H37" i="18"/>
  <c r="H50" i="18" s="1"/>
  <c r="F37" i="19"/>
  <c r="F50" i="19" s="1"/>
  <c r="C36" i="20"/>
  <c r="D36" i="20"/>
  <c r="D49" i="20" s="1"/>
  <c r="E36" i="20"/>
  <c r="E49" i="20" s="1"/>
  <c r="F36" i="20"/>
  <c r="F49" i="20" s="1"/>
  <c r="G36" i="20"/>
  <c r="G49" i="20" s="1"/>
  <c r="H36" i="20"/>
  <c r="H49" i="20" s="1"/>
  <c r="G38" i="21"/>
  <c r="G51" i="21" s="1"/>
  <c r="G32" i="21"/>
  <c r="G45" i="21" s="1"/>
  <c r="J23" i="22"/>
  <c r="H35" i="22" s="1"/>
  <c r="H48" i="22" s="1"/>
  <c r="J26" i="23"/>
  <c r="I38" i="23" s="1"/>
  <c r="I51" i="23" s="1"/>
  <c r="D33" i="23"/>
  <c r="D46" i="23" s="1"/>
  <c r="H37" i="25"/>
  <c r="H50" i="25" s="1"/>
  <c r="J24" i="25"/>
  <c r="E36" i="25" s="1"/>
  <c r="E49" i="25" s="1"/>
  <c r="F34" i="25"/>
  <c r="F47" i="25" s="1"/>
  <c r="H32" i="25"/>
  <c r="H45" i="25" s="1"/>
  <c r="E37" i="19"/>
  <c r="E50" i="19" s="1"/>
  <c r="G32" i="20"/>
  <c r="G45" i="20" s="1"/>
  <c r="I36" i="21"/>
  <c r="I49" i="21" s="1"/>
  <c r="I35" i="21"/>
  <c r="I48" i="21" s="1"/>
  <c r="J21" i="23"/>
  <c r="G33" i="23" s="1"/>
  <c r="G46" i="23" s="1"/>
  <c r="D34" i="25"/>
  <c r="D47" i="25" s="1"/>
  <c r="G38" i="26"/>
  <c r="G51" i="26" s="1"/>
  <c r="H32" i="17"/>
  <c r="H45" i="17" s="1"/>
  <c r="D37" i="19"/>
  <c r="D50" i="19" s="1"/>
  <c r="I35" i="20"/>
  <c r="I48" i="20" s="1"/>
  <c r="D35" i="21"/>
  <c r="D48" i="21" s="1"/>
  <c r="H35" i="21"/>
  <c r="H48" i="21" s="1"/>
  <c r="I38" i="22"/>
  <c r="I51" i="22" s="1"/>
  <c r="C38" i="22"/>
  <c r="D38" i="22"/>
  <c r="D51" i="22" s="1"/>
  <c r="E38" i="22"/>
  <c r="E51" i="22" s="1"/>
  <c r="I32" i="23"/>
  <c r="I45" i="23" s="1"/>
  <c r="E37" i="24"/>
  <c r="E50" i="24" s="1"/>
  <c r="H38" i="19"/>
  <c r="H51" i="19" s="1"/>
  <c r="D35" i="20"/>
  <c r="D48" i="20" s="1"/>
  <c r="J22" i="20"/>
  <c r="E37" i="21"/>
  <c r="E50" i="21" s="1"/>
  <c r="G35" i="21"/>
  <c r="G48" i="21" s="1"/>
  <c r="J24" i="23"/>
  <c r="G36" i="23" s="1"/>
  <c r="G49" i="23" s="1"/>
  <c r="D37" i="24"/>
  <c r="D50" i="24" s="1"/>
  <c r="J20" i="24"/>
  <c r="D32" i="24" s="1"/>
  <c r="D45" i="24" s="1"/>
  <c r="C32" i="24"/>
  <c r="I38" i="25"/>
  <c r="I51" i="25" s="1"/>
  <c r="F33" i="20"/>
  <c r="F46" i="20" s="1"/>
  <c r="E37" i="20"/>
  <c r="E50" i="20" s="1"/>
  <c r="I38" i="21"/>
  <c r="I51" i="21" s="1"/>
  <c r="D37" i="21"/>
  <c r="D50" i="21" s="1"/>
  <c r="J20" i="21"/>
  <c r="I32" i="21" s="1"/>
  <c r="I45" i="21" s="1"/>
  <c r="G33" i="24"/>
  <c r="G46" i="24" s="1"/>
  <c r="C37" i="21"/>
  <c r="I36" i="22"/>
  <c r="I49" i="22" s="1"/>
  <c r="F33" i="22"/>
  <c r="F46" i="22" s="1"/>
  <c r="G34" i="23"/>
  <c r="G47" i="23" s="1"/>
  <c r="I37" i="24"/>
  <c r="I50" i="24" s="1"/>
  <c r="D38" i="26"/>
  <c r="D51" i="26" s="1"/>
  <c r="D37" i="28"/>
  <c r="D50" i="28" s="1"/>
  <c r="J22" i="24"/>
  <c r="G34" i="24" s="1"/>
  <c r="G47" i="24" s="1"/>
  <c r="E37" i="26"/>
  <c r="E50" i="26" s="1"/>
  <c r="F37" i="26"/>
  <c r="F50" i="26" s="1"/>
  <c r="O36" i="29"/>
  <c r="O40" i="29"/>
  <c r="O44" i="29"/>
  <c r="O48" i="29"/>
  <c r="O52" i="29"/>
  <c r="O56" i="29"/>
  <c r="O60" i="29"/>
  <c r="O64" i="29"/>
  <c r="O68" i="29"/>
  <c r="O72" i="29"/>
  <c r="O33" i="29"/>
  <c r="O37" i="29"/>
  <c r="O41" i="29"/>
  <c r="O45" i="29"/>
  <c r="O49" i="29"/>
  <c r="O53" i="29"/>
  <c r="O57" i="29"/>
  <c r="O61" i="29"/>
  <c r="O65" i="29"/>
  <c r="O69" i="29"/>
  <c r="O73" i="29"/>
  <c r="O34" i="29"/>
  <c r="O38" i="29"/>
  <c r="O42" i="29"/>
  <c r="O46" i="29"/>
  <c r="O50" i="29"/>
  <c r="O54" i="29"/>
  <c r="O58" i="29"/>
  <c r="O62" i="29"/>
  <c r="O66" i="29"/>
  <c r="O70" i="29"/>
  <c r="O35" i="29"/>
  <c r="O39" i="29"/>
  <c r="O43" i="29"/>
  <c r="O47" i="29"/>
  <c r="O51" i="29"/>
  <c r="O55" i="29"/>
  <c r="O59" i="29"/>
  <c r="O63" i="29"/>
  <c r="O67" i="29"/>
  <c r="O71" i="29"/>
  <c r="E12" i="27"/>
  <c r="E36" i="22"/>
  <c r="E49" i="22" s="1"/>
  <c r="C34" i="23"/>
  <c r="C32" i="25"/>
  <c r="G37" i="26"/>
  <c r="G50" i="26" s="1"/>
  <c r="Q35" i="29"/>
  <c r="D36" i="22"/>
  <c r="D49" i="22" s="1"/>
  <c r="J26" i="25"/>
  <c r="G38" i="25" s="1"/>
  <c r="G51" i="25" s="1"/>
  <c r="J23" i="25"/>
  <c r="C35" i="25" s="1"/>
  <c r="D37" i="26"/>
  <c r="D50" i="26" s="1"/>
  <c r="D37" i="23"/>
  <c r="D50" i="23" s="1"/>
  <c r="C32" i="23"/>
  <c r="J22" i="26"/>
  <c r="H34" i="26" s="1"/>
  <c r="H47" i="26" s="1"/>
  <c r="J25" i="22"/>
  <c r="C37" i="22" s="1"/>
  <c r="J22" i="22"/>
  <c r="C34" i="22" s="1"/>
  <c r="J23" i="23"/>
  <c r="D35" i="23" s="1"/>
  <c r="D48" i="23" s="1"/>
  <c r="I33" i="26"/>
  <c r="I46" i="26" s="1"/>
  <c r="G35" i="27"/>
  <c r="G48" i="27" s="1"/>
  <c r="I35" i="27"/>
  <c r="I48" i="27" s="1"/>
  <c r="C35" i="27"/>
  <c r="D35" i="27"/>
  <c r="D48" i="27" s="1"/>
  <c r="E35" i="27"/>
  <c r="E48" i="27" s="1"/>
  <c r="C32" i="28"/>
  <c r="F32" i="28"/>
  <c r="F45" i="28" s="1"/>
  <c r="I32" i="28"/>
  <c r="I45" i="28" s="1"/>
  <c r="J22" i="21"/>
  <c r="M36" i="29"/>
  <c r="M40" i="29"/>
  <c r="M44" i="29"/>
  <c r="M48" i="29"/>
  <c r="M52" i="29"/>
  <c r="M56" i="29"/>
  <c r="M60" i="29"/>
  <c r="M64" i="29"/>
  <c r="M68" i="29"/>
  <c r="M72" i="29"/>
  <c r="R35" i="29"/>
  <c r="R39" i="29"/>
  <c r="R43" i="29"/>
  <c r="R47" i="29"/>
  <c r="R51" i="29"/>
  <c r="R55" i="29"/>
  <c r="R59" i="29"/>
  <c r="R63" i="29"/>
  <c r="R67" i="29"/>
  <c r="R71" i="29"/>
  <c r="M33" i="29"/>
  <c r="M37" i="29"/>
  <c r="M41" i="29"/>
  <c r="M45" i="29"/>
  <c r="M49" i="29"/>
  <c r="M53" i="29"/>
  <c r="M57" i="29"/>
  <c r="M61" i="29"/>
  <c r="M65" i="29"/>
  <c r="M69" i="29"/>
  <c r="M73" i="29"/>
  <c r="R36" i="29"/>
  <c r="R40" i="29"/>
  <c r="R44" i="29"/>
  <c r="R48" i="29"/>
  <c r="R52" i="29"/>
  <c r="R56" i="29"/>
  <c r="R60" i="29"/>
  <c r="R64" i="29"/>
  <c r="R68" i="29"/>
  <c r="R72" i="29"/>
  <c r="M34" i="29"/>
  <c r="M38" i="29"/>
  <c r="M42" i="29"/>
  <c r="M46" i="29"/>
  <c r="M50" i="29"/>
  <c r="M54" i="29"/>
  <c r="M58" i="29"/>
  <c r="M62" i="29"/>
  <c r="M66" i="29"/>
  <c r="M70" i="29"/>
  <c r="R33" i="29"/>
  <c r="R37" i="29"/>
  <c r="R41" i="29"/>
  <c r="R45" i="29"/>
  <c r="R49" i="29"/>
  <c r="R53" i="29"/>
  <c r="R57" i="29"/>
  <c r="R61" i="29"/>
  <c r="R65" i="29"/>
  <c r="R69" i="29"/>
  <c r="R73" i="29"/>
  <c r="M35" i="29"/>
  <c r="M39" i="29"/>
  <c r="M43" i="29"/>
  <c r="M47" i="29"/>
  <c r="M51" i="29"/>
  <c r="M55" i="29"/>
  <c r="M59" i="29"/>
  <c r="M63" i="29"/>
  <c r="M67" i="29"/>
  <c r="M71" i="29"/>
  <c r="R34" i="29"/>
  <c r="R38" i="29"/>
  <c r="R42" i="29"/>
  <c r="R46" i="29"/>
  <c r="R50" i="29"/>
  <c r="R54" i="29"/>
  <c r="R58" i="29"/>
  <c r="R62" i="29"/>
  <c r="R66" i="29"/>
  <c r="R70" i="29"/>
  <c r="F8" i="29"/>
  <c r="I33" i="22"/>
  <c r="I46" i="22" s="1"/>
  <c r="D36" i="26"/>
  <c r="D49" i="26" s="1"/>
  <c r="C37" i="26"/>
  <c r="I33" i="27"/>
  <c r="I46" i="27" s="1"/>
  <c r="C33" i="27"/>
  <c r="D33" i="27"/>
  <c r="D46" i="27" s="1"/>
  <c r="E33" i="27"/>
  <c r="E46" i="27" s="1"/>
  <c r="F33" i="27"/>
  <c r="F46" i="27" s="1"/>
  <c r="G33" i="27"/>
  <c r="G46" i="27" s="1"/>
  <c r="H32" i="28"/>
  <c r="H45" i="28" s="1"/>
  <c r="P35" i="29"/>
  <c r="P39" i="29"/>
  <c r="P43" i="29"/>
  <c r="P47" i="29"/>
  <c r="P51" i="29"/>
  <c r="P55" i="29"/>
  <c r="P59" i="29"/>
  <c r="P63" i="29"/>
  <c r="P67" i="29"/>
  <c r="P71" i="29"/>
  <c r="P36" i="29"/>
  <c r="P40" i="29"/>
  <c r="P44" i="29"/>
  <c r="P48" i="29"/>
  <c r="P52" i="29"/>
  <c r="P56" i="29"/>
  <c r="P60" i="29"/>
  <c r="P64" i="29"/>
  <c r="P68" i="29"/>
  <c r="P72" i="29"/>
  <c r="F7" i="29"/>
  <c r="P33" i="29"/>
  <c r="P37" i="29"/>
  <c r="P41" i="29"/>
  <c r="P45" i="29"/>
  <c r="P49" i="29"/>
  <c r="P53" i="29"/>
  <c r="P57" i="29"/>
  <c r="P61" i="29"/>
  <c r="P65" i="29"/>
  <c r="P69" i="29"/>
  <c r="P73" i="29"/>
  <c r="P34" i="29"/>
  <c r="P38" i="29"/>
  <c r="P42" i="29"/>
  <c r="P46" i="29"/>
  <c r="P50" i="29"/>
  <c r="P54" i="29"/>
  <c r="P58" i="29"/>
  <c r="P62" i="29"/>
  <c r="P66" i="29"/>
  <c r="P70" i="29"/>
  <c r="H33" i="22"/>
  <c r="H46" i="22" s="1"/>
  <c r="C33" i="24"/>
  <c r="I36" i="26"/>
  <c r="I49" i="26" s="1"/>
  <c r="F37" i="28"/>
  <c r="F50" i="28" s="1"/>
  <c r="G32" i="28"/>
  <c r="G45" i="28" s="1"/>
  <c r="C33" i="23"/>
  <c r="J23" i="26"/>
  <c r="G35" i="26" s="1"/>
  <c r="G48" i="26" s="1"/>
  <c r="H35" i="28"/>
  <c r="H48" i="28" s="1"/>
  <c r="L72" i="29"/>
  <c r="L68" i="29"/>
  <c r="L64" i="29"/>
  <c r="L60" i="29"/>
  <c r="L56" i="29"/>
  <c r="L52" i="29"/>
  <c r="L48" i="29"/>
  <c r="L44" i="29"/>
  <c r="L40" i="29"/>
  <c r="L36" i="29"/>
  <c r="E18" i="29"/>
  <c r="F11" i="29" s="1"/>
  <c r="J24" i="28"/>
  <c r="J21" i="28"/>
  <c r="I33" i="28" s="1"/>
  <c r="I46" i="28" s="1"/>
  <c r="N71" i="29"/>
  <c r="Q70" i="29"/>
  <c r="N67" i="29"/>
  <c r="Q66" i="29"/>
  <c r="N63" i="29"/>
  <c r="Q62" i="29"/>
  <c r="N59" i="29"/>
  <c r="Q58" i="29"/>
  <c r="N55" i="29"/>
  <c r="Q54" i="29"/>
  <c r="N51" i="29"/>
  <c r="Q50" i="29"/>
  <c r="N47" i="29"/>
  <c r="Q46" i="29"/>
  <c r="N43" i="29"/>
  <c r="Q42" i="29"/>
  <c r="N39" i="29"/>
  <c r="Q38" i="29"/>
  <c r="N35" i="29"/>
  <c r="Q34" i="29"/>
  <c r="L71" i="29"/>
  <c r="L67" i="29"/>
  <c r="L63" i="29"/>
  <c r="L59" i="29"/>
  <c r="L55" i="29"/>
  <c r="L51" i="29"/>
  <c r="L47" i="29"/>
  <c r="L43" i="29"/>
  <c r="L39" i="29"/>
  <c r="L35" i="29"/>
  <c r="Q73" i="29"/>
  <c r="N70" i="29"/>
  <c r="Q69" i="29"/>
  <c r="N66" i="29"/>
  <c r="Q65" i="29"/>
  <c r="N62" i="29"/>
  <c r="Q61" i="29"/>
  <c r="N58" i="29"/>
  <c r="Q57" i="29"/>
  <c r="N54" i="29"/>
  <c r="Q53" i="29"/>
  <c r="N50" i="29"/>
  <c r="Q49" i="29"/>
  <c r="N46" i="29"/>
  <c r="Q45" i="29"/>
  <c r="N42" i="29"/>
  <c r="Q41" i="29"/>
  <c r="N38" i="29"/>
  <c r="Q37" i="29"/>
  <c r="N34" i="29"/>
  <c r="Q33" i="29"/>
  <c r="J22" i="28"/>
  <c r="C34" i="28" s="1"/>
  <c r="L70" i="29"/>
  <c r="L66" i="29"/>
  <c r="L62" i="29"/>
  <c r="L58" i="29"/>
  <c r="L54" i="29"/>
  <c r="L50" i="29"/>
  <c r="L46" i="29"/>
  <c r="L42" i="29"/>
  <c r="L38" i="29"/>
  <c r="L34" i="29"/>
  <c r="N73" i="29"/>
  <c r="Q72" i="29"/>
  <c r="N69" i="29"/>
  <c r="Q68" i="29"/>
  <c r="N65" i="29"/>
  <c r="Q64" i="29"/>
  <c r="N61" i="29"/>
  <c r="Q60" i="29"/>
  <c r="N57" i="29"/>
  <c r="Q56" i="29"/>
  <c r="N53" i="29"/>
  <c r="Q52" i="29"/>
  <c r="N49" i="29"/>
  <c r="Q48" i="29"/>
  <c r="N45" i="29"/>
  <c r="Q44" i="29"/>
  <c r="N41" i="29"/>
  <c r="Q40" i="29"/>
  <c r="N37" i="29"/>
  <c r="Q36" i="29"/>
  <c r="N33" i="29"/>
  <c r="F10" i="29"/>
  <c r="F6" i="29"/>
  <c r="C33" i="26"/>
  <c r="N72" i="29"/>
  <c r="Q71" i="29"/>
  <c r="N68" i="29"/>
  <c r="Q67" i="29"/>
  <c r="N64" i="29"/>
  <c r="Q63" i="29"/>
  <c r="N60" i="29"/>
  <c r="Q59" i="29"/>
  <c r="N56" i="29"/>
  <c r="Q55" i="29"/>
  <c r="N52" i="29"/>
  <c r="Q51" i="29"/>
  <c r="N48" i="29"/>
  <c r="Q47" i="29"/>
  <c r="N44" i="29"/>
  <c r="Q43" i="29"/>
  <c r="N40" i="29"/>
  <c r="Q39" i="29"/>
  <c r="C40" i="12"/>
  <c r="C51" i="12" s="1"/>
  <c r="G51" i="12" s="1"/>
  <c r="H51" i="12" s="1"/>
  <c r="I51" i="12" s="1"/>
  <c r="J51" i="12" s="1"/>
  <c r="C41" i="12"/>
  <c r="C52" i="12" s="1"/>
  <c r="C59" i="12" s="1"/>
  <c r="C42" i="12"/>
  <c r="C53" i="12" s="1"/>
  <c r="C60" i="12" s="1"/>
  <c r="C43" i="12"/>
  <c r="C54" i="12" s="1"/>
  <c r="G54" i="12" s="1"/>
  <c r="H54" i="12" s="1"/>
  <c r="I54" i="12" s="1"/>
  <c r="J54" i="12" s="1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H36" i="12"/>
  <c r="I36" i="12" s="1"/>
  <c r="M36" i="12"/>
  <c r="N36" i="12" s="1"/>
  <c r="R36" i="12"/>
  <c r="S36" i="12" s="1"/>
  <c r="W36" i="12"/>
  <c r="AB36" i="12"/>
  <c r="E36" i="12"/>
  <c r="B25" i="12"/>
  <c r="B20" i="12"/>
  <c r="B15" i="12"/>
  <c r="B10" i="12"/>
  <c r="D9" i="4" l="1"/>
  <c r="M50" i="5"/>
  <c r="E32" i="26"/>
  <c r="E45" i="26" s="1"/>
  <c r="F34" i="28"/>
  <c r="F47" i="28" s="1"/>
  <c r="E32" i="28"/>
  <c r="E45" i="28" s="1"/>
  <c r="C34" i="26"/>
  <c r="D36" i="25"/>
  <c r="D49" i="25" s="1"/>
  <c r="G36" i="24"/>
  <c r="G49" i="24" s="1"/>
  <c r="D34" i="17"/>
  <c r="D47" i="17" s="1"/>
  <c r="J49" i="16"/>
  <c r="K49" i="16" s="1"/>
  <c r="I37" i="22"/>
  <c r="I50" i="22" s="1"/>
  <c r="I33" i="15"/>
  <c r="I46" i="15" s="1"/>
  <c r="C36" i="26"/>
  <c r="E36" i="26"/>
  <c r="E49" i="26" s="1"/>
  <c r="G36" i="26"/>
  <c r="G49" i="26" s="1"/>
  <c r="H36" i="26"/>
  <c r="H49" i="26" s="1"/>
  <c r="H38" i="27"/>
  <c r="H51" i="27" s="1"/>
  <c r="C37" i="19"/>
  <c r="H37" i="19"/>
  <c r="H50" i="19" s="1"/>
  <c r="F32" i="26"/>
  <c r="F45" i="26" s="1"/>
  <c r="S73" i="29"/>
  <c r="C38" i="23"/>
  <c r="H36" i="23"/>
  <c r="H49" i="23" s="1"/>
  <c r="H38" i="28"/>
  <c r="H51" i="28" s="1"/>
  <c r="G38" i="27"/>
  <c r="G51" i="27" s="1"/>
  <c r="W70" i="14"/>
  <c r="AF70" i="14" s="1"/>
  <c r="X71" i="14"/>
  <c r="AG71" i="14" s="1"/>
  <c r="E39" i="18"/>
  <c r="E52" i="18" s="1"/>
  <c r="E33" i="24"/>
  <c r="E46" i="24" s="1"/>
  <c r="E38" i="23"/>
  <c r="E51" i="23" s="1"/>
  <c r="F38" i="27"/>
  <c r="F51" i="27" s="1"/>
  <c r="AA70" i="14"/>
  <c r="AJ70" i="14" s="1"/>
  <c r="S71" i="14"/>
  <c r="G38" i="22"/>
  <c r="G51" i="22" s="1"/>
  <c r="F36" i="26"/>
  <c r="F49" i="26" s="1"/>
  <c r="D35" i="26"/>
  <c r="D48" i="26" s="1"/>
  <c r="H32" i="26"/>
  <c r="H45" i="26" s="1"/>
  <c r="H32" i="21"/>
  <c r="H45" i="21" s="1"/>
  <c r="Q31" i="15"/>
  <c r="E38" i="27"/>
  <c r="E51" i="27" s="1"/>
  <c r="Z69" i="14"/>
  <c r="AI69" i="14" s="1"/>
  <c r="AA69" i="14"/>
  <c r="AJ69" i="14" s="1"/>
  <c r="G39" i="18"/>
  <c r="G52" i="18" s="1"/>
  <c r="C37" i="23"/>
  <c r="G37" i="23"/>
  <c r="G50" i="23" s="1"/>
  <c r="S53" i="29"/>
  <c r="F36" i="25"/>
  <c r="F49" i="25" s="1"/>
  <c r="H33" i="23"/>
  <c r="H46" i="23" s="1"/>
  <c r="C37" i="16"/>
  <c r="C50" i="16" s="1"/>
  <c r="C38" i="27"/>
  <c r="AA71" i="14"/>
  <c r="AJ71" i="14" s="1"/>
  <c r="AC38" i="8"/>
  <c r="K10" i="4" s="1"/>
  <c r="G35" i="22"/>
  <c r="G48" i="22" s="1"/>
  <c r="I38" i="27"/>
  <c r="I51" i="27" s="1"/>
  <c r="C33" i="16"/>
  <c r="C46" i="16" s="1"/>
  <c r="J46" i="16" s="1"/>
  <c r="F33" i="16"/>
  <c r="F46" i="16" s="1"/>
  <c r="H33" i="16"/>
  <c r="H46" i="16" s="1"/>
  <c r="I33" i="16"/>
  <c r="I46" i="16" s="1"/>
  <c r="G38" i="19"/>
  <c r="G51" i="19" s="1"/>
  <c r="D38" i="19"/>
  <c r="D51" i="19" s="1"/>
  <c r="E38" i="19"/>
  <c r="E51" i="19" s="1"/>
  <c r="F38" i="19"/>
  <c r="F51" i="19" s="1"/>
  <c r="I38" i="19"/>
  <c r="I51" i="19" s="1"/>
  <c r="C38" i="19"/>
  <c r="S65" i="29"/>
  <c r="J51" i="17"/>
  <c r="K51" i="17" s="1"/>
  <c r="D37" i="22"/>
  <c r="D50" i="22" s="1"/>
  <c r="F6" i="14"/>
  <c r="I34" i="27"/>
  <c r="I47" i="27" s="1"/>
  <c r="AA31" i="10"/>
  <c r="D33" i="16"/>
  <c r="D46" i="16" s="1"/>
  <c r="H37" i="23"/>
  <c r="H50" i="23" s="1"/>
  <c r="D32" i="26"/>
  <c r="D45" i="26" s="1"/>
  <c r="G34" i="17"/>
  <c r="G47" i="17" s="1"/>
  <c r="I34" i="17"/>
  <c r="I47" i="17" s="1"/>
  <c r="D34" i="27"/>
  <c r="D47" i="27" s="1"/>
  <c r="AA34" i="9"/>
  <c r="I35" i="16"/>
  <c r="I48" i="16" s="1"/>
  <c r="G37" i="19"/>
  <c r="G50" i="19" s="1"/>
  <c r="I37" i="23"/>
  <c r="I50" i="23" s="1"/>
  <c r="G32" i="26"/>
  <c r="G45" i="26" s="1"/>
  <c r="C34" i="27"/>
  <c r="AB69" i="14"/>
  <c r="AK69" i="14" s="1"/>
  <c r="S66" i="14"/>
  <c r="AB67" i="14" s="1"/>
  <c r="AK67" i="14" s="1"/>
  <c r="E37" i="23"/>
  <c r="E50" i="23" s="1"/>
  <c r="AC31" i="8"/>
  <c r="D10" i="4" s="1"/>
  <c r="Q10" i="4" s="1"/>
  <c r="C39" i="18"/>
  <c r="F35" i="16"/>
  <c r="F48" i="16" s="1"/>
  <c r="J48" i="16" s="1"/>
  <c r="K48" i="16" s="1"/>
  <c r="I32" i="26"/>
  <c r="I45" i="26" s="1"/>
  <c r="Z65" i="14"/>
  <c r="AI65" i="14" s="1"/>
  <c r="S67" i="14"/>
  <c r="AA68" i="14" s="1"/>
  <c r="AJ68" i="14" s="1"/>
  <c r="S64" i="14"/>
  <c r="C35" i="17"/>
  <c r="C48" i="17" s="1"/>
  <c r="H35" i="17"/>
  <c r="H48" i="17" s="1"/>
  <c r="G35" i="17"/>
  <c r="G48" i="17" s="1"/>
  <c r="J51" i="16"/>
  <c r="K51" i="16" s="1"/>
  <c r="J48" i="17"/>
  <c r="K48" i="17" s="1"/>
  <c r="L48" i="17" s="1"/>
  <c r="C49" i="18"/>
  <c r="J49" i="18" s="1"/>
  <c r="K49" i="18" s="1"/>
  <c r="L49" i="18" s="1"/>
  <c r="J50" i="18"/>
  <c r="D10" i="13" s="1"/>
  <c r="K51" i="18"/>
  <c r="L51" i="18" s="1"/>
  <c r="J12" i="18"/>
  <c r="J13" i="18" s="1"/>
  <c r="D8" i="18"/>
  <c r="E8" i="18" s="1"/>
  <c r="C46" i="18"/>
  <c r="J43" i="18" s="1"/>
  <c r="C52" i="18"/>
  <c r="J52" i="18" s="1"/>
  <c r="C51" i="18"/>
  <c r="J51" i="18" s="1"/>
  <c r="D11" i="13" s="1"/>
  <c r="T20" i="15"/>
  <c r="X20" i="15" s="1"/>
  <c r="AG20" i="15" s="1"/>
  <c r="C47" i="18"/>
  <c r="J47" i="18" s="1"/>
  <c r="K47" i="18" s="1"/>
  <c r="Y65" i="14"/>
  <c r="AH65" i="14" s="1"/>
  <c r="X64" i="14"/>
  <c r="AG64" i="14" s="1"/>
  <c r="AA65" i="14"/>
  <c r="AJ65" i="14" s="1"/>
  <c r="W65" i="14"/>
  <c r="AF65" i="14" s="1"/>
  <c r="AB65" i="14"/>
  <c r="AK65" i="14" s="1"/>
  <c r="X69" i="14"/>
  <c r="AG69" i="14" s="1"/>
  <c r="Y70" i="14"/>
  <c r="AH70" i="14" s="1"/>
  <c r="V70" i="14"/>
  <c r="AE70" i="14" s="1"/>
  <c r="Z70" i="14"/>
  <c r="AI70" i="14" s="1"/>
  <c r="AB70" i="14"/>
  <c r="AK70" i="14" s="1"/>
  <c r="W71" i="14"/>
  <c r="AF71" i="14" s="1"/>
  <c r="V69" i="14"/>
  <c r="AE69" i="14" s="1"/>
  <c r="Y71" i="14"/>
  <c r="AH71" i="14" s="1"/>
  <c r="AB71" i="14"/>
  <c r="AK71" i="14" s="1"/>
  <c r="Y69" i="14"/>
  <c r="AH69" i="14" s="1"/>
  <c r="X68" i="14"/>
  <c r="AG68" i="14" s="1"/>
  <c r="Z71" i="14"/>
  <c r="AI71" i="14" s="1"/>
  <c r="V71" i="14"/>
  <c r="AE71" i="14" s="1"/>
  <c r="F7" i="14"/>
  <c r="F10" i="14"/>
  <c r="F9" i="14"/>
  <c r="F8" i="14"/>
  <c r="F11" i="14"/>
  <c r="T23" i="15"/>
  <c r="X23" i="15" s="1"/>
  <c r="AG23" i="15" s="1"/>
  <c r="J36" i="12"/>
  <c r="X36" i="12"/>
  <c r="T36" i="12"/>
  <c r="AC36" i="12"/>
  <c r="O36" i="12"/>
  <c r="G32" i="13"/>
  <c r="G31" i="13"/>
  <c r="G33" i="13"/>
  <c r="L51" i="17"/>
  <c r="G13" i="13"/>
  <c r="C32" i="22"/>
  <c r="D32" i="22"/>
  <c r="D45" i="22" s="1"/>
  <c r="E32" i="22"/>
  <c r="E45" i="22" s="1"/>
  <c r="I32" i="22"/>
  <c r="I45" i="22" s="1"/>
  <c r="E38" i="24"/>
  <c r="E51" i="24" s="1"/>
  <c r="F38" i="24"/>
  <c r="F51" i="24" s="1"/>
  <c r="G38" i="24"/>
  <c r="G51" i="24" s="1"/>
  <c r="G52" i="15"/>
  <c r="Q33" i="15"/>
  <c r="O32" i="15"/>
  <c r="AC20" i="15"/>
  <c r="AL20" i="15" s="1"/>
  <c r="S30" i="15"/>
  <c r="E35" i="24"/>
  <c r="E48" i="24" s="1"/>
  <c r="F35" i="24"/>
  <c r="F48" i="24" s="1"/>
  <c r="G35" i="24"/>
  <c r="G48" i="24" s="1"/>
  <c r="E32" i="16"/>
  <c r="E45" i="16" s="1"/>
  <c r="F32" i="16"/>
  <c r="F45" i="16" s="1"/>
  <c r="G32" i="16"/>
  <c r="G45" i="16" s="1"/>
  <c r="H32" i="16"/>
  <c r="H45" i="16" s="1"/>
  <c r="C32" i="16"/>
  <c r="C45" i="16" s="1"/>
  <c r="D32" i="16"/>
  <c r="D45" i="16" s="1"/>
  <c r="Y68" i="14"/>
  <c r="AH68" i="14" s="1"/>
  <c r="W68" i="14"/>
  <c r="AF68" i="14" s="1"/>
  <c r="S33" i="14"/>
  <c r="V34" i="14" s="1"/>
  <c r="AE34" i="14" s="1"/>
  <c r="S31" i="14"/>
  <c r="W31" i="14" s="1"/>
  <c r="AF31" i="14" s="1"/>
  <c r="S34" i="29"/>
  <c r="S42" i="29"/>
  <c r="C38" i="24"/>
  <c r="C39" i="15"/>
  <c r="D39" i="15"/>
  <c r="F39" i="15"/>
  <c r="F52" i="15" s="1"/>
  <c r="H39" i="15"/>
  <c r="I39" i="15"/>
  <c r="I52" i="15" s="1"/>
  <c r="E39" i="15"/>
  <c r="E52" i="15" s="1"/>
  <c r="S31" i="15"/>
  <c r="C35" i="24"/>
  <c r="S62" i="14"/>
  <c r="V63" i="14" s="1"/>
  <c r="AE63" i="14" s="1"/>
  <c r="S60" i="14"/>
  <c r="V61" i="14" s="1"/>
  <c r="AE61" i="14" s="1"/>
  <c r="L49" i="16"/>
  <c r="B11" i="13"/>
  <c r="S39" i="14"/>
  <c r="V40" i="14" s="1"/>
  <c r="AE40" i="14" s="1"/>
  <c r="S46" i="29"/>
  <c r="S63" i="29"/>
  <c r="S36" i="29"/>
  <c r="D34" i="21"/>
  <c r="D47" i="21" s="1"/>
  <c r="F34" i="21"/>
  <c r="F47" i="21" s="1"/>
  <c r="G34" i="21"/>
  <c r="G47" i="21" s="1"/>
  <c r="H34" i="21"/>
  <c r="H47" i="21" s="1"/>
  <c r="I34" i="21"/>
  <c r="I47" i="21" s="1"/>
  <c r="S37" i="29"/>
  <c r="G36" i="25"/>
  <c r="G49" i="25" s="1"/>
  <c r="H36" i="25"/>
  <c r="H49" i="25" s="1"/>
  <c r="I36" i="25"/>
  <c r="I49" i="25" s="1"/>
  <c r="C36" i="25"/>
  <c r="S29" i="15"/>
  <c r="H32" i="22"/>
  <c r="H45" i="22" s="1"/>
  <c r="S56" i="14"/>
  <c r="S54" i="14"/>
  <c r="V55" i="14" s="1"/>
  <c r="AE55" i="14" s="1"/>
  <c r="H33" i="28"/>
  <c r="H46" i="28" s="1"/>
  <c r="C33" i="28"/>
  <c r="D33" i="28"/>
  <c r="D46" i="28" s="1"/>
  <c r="E33" i="28"/>
  <c r="E46" i="28" s="1"/>
  <c r="G33" i="28"/>
  <c r="G46" i="28" s="1"/>
  <c r="I33" i="19"/>
  <c r="I46" i="19" s="1"/>
  <c r="D33" i="19"/>
  <c r="D46" i="19" s="1"/>
  <c r="E33" i="19"/>
  <c r="E46" i="19" s="1"/>
  <c r="F33" i="19"/>
  <c r="F46" i="19" s="1"/>
  <c r="G33" i="19"/>
  <c r="G46" i="19" s="1"/>
  <c r="H33" i="19"/>
  <c r="H46" i="19" s="1"/>
  <c r="C36" i="28"/>
  <c r="D36" i="28"/>
  <c r="D49" i="28" s="1"/>
  <c r="E36" i="28"/>
  <c r="E49" i="28" s="1"/>
  <c r="F36" i="28"/>
  <c r="F49" i="28" s="1"/>
  <c r="G36" i="28"/>
  <c r="G49" i="28" s="1"/>
  <c r="H36" i="28"/>
  <c r="H49" i="28" s="1"/>
  <c r="S49" i="29"/>
  <c r="C34" i="15"/>
  <c r="C47" i="15" s="1"/>
  <c r="F34" i="15"/>
  <c r="F47" i="15" s="1"/>
  <c r="G34" i="15"/>
  <c r="G47" i="15" s="1"/>
  <c r="H34" i="15"/>
  <c r="H47" i="15" s="1"/>
  <c r="I34" i="15"/>
  <c r="I47" i="15" s="1"/>
  <c r="D34" i="15"/>
  <c r="D47" i="15" s="1"/>
  <c r="F32" i="22"/>
  <c r="F45" i="22" s="1"/>
  <c r="T21" i="15"/>
  <c r="D36" i="17"/>
  <c r="D49" i="17" s="1"/>
  <c r="S58" i="14"/>
  <c r="V59" i="14" s="1"/>
  <c r="AE59" i="14" s="1"/>
  <c r="S50" i="14"/>
  <c r="V51" i="14" s="1"/>
  <c r="AE51" i="14" s="1"/>
  <c r="S48" i="14"/>
  <c r="V49" i="14" s="1"/>
  <c r="AE49" i="14" s="1"/>
  <c r="Z61" i="29"/>
  <c r="S61" i="29"/>
  <c r="S59" i="29"/>
  <c r="S50" i="29"/>
  <c r="S71" i="29"/>
  <c r="S44" i="29"/>
  <c r="E35" i="23"/>
  <c r="E48" i="23" s="1"/>
  <c r="F35" i="23"/>
  <c r="F48" i="23" s="1"/>
  <c r="G35" i="23"/>
  <c r="G48" i="23" s="1"/>
  <c r="H35" i="23"/>
  <c r="H48" i="23" s="1"/>
  <c r="I35" i="23"/>
  <c r="I48" i="23" s="1"/>
  <c r="I36" i="28"/>
  <c r="I49" i="28" s="1"/>
  <c r="E32" i="24"/>
  <c r="E45" i="24" s="1"/>
  <c r="F32" i="24"/>
  <c r="F45" i="24" s="1"/>
  <c r="G32" i="24"/>
  <c r="G45" i="24" s="1"/>
  <c r="D36" i="24"/>
  <c r="D49" i="24" s="1"/>
  <c r="C36" i="24"/>
  <c r="F35" i="22"/>
  <c r="F48" i="22" s="1"/>
  <c r="E33" i="25"/>
  <c r="E46" i="25" s="1"/>
  <c r="C37" i="17"/>
  <c r="C50" i="17" s="1"/>
  <c r="D37" i="17"/>
  <c r="D50" i="17" s="1"/>
  <c r="F37" i="17"/>
  <c r="F50" i="17" s="1"/>
  <c r="E37" i="17"/>
  <c r="E50" i="17" s="1"/>
  <c r="I37" i="17"/>
  <c r="I50" i="17" s="1"/>
  <c r="F33" i="17"/>
  <c r="F46" i="17" s="1"/>
  <c r="G33" i="17"/>
  <c r="G46" i="17" s="1"/>
  <c r="H33" i="17"/>
  <c r="H46" i="17" s="1"/>
  <c r="I33" i="17"/>
  <c r="I46" i="17" s="1"/>
  <c r="S52" i="14"/>
  <c r="V53" i="14" s="1"/>
  <c r="AE53" i="14" s="1"/>
  <c r="S44" i="14"/>
  <c r="V45" i="14" s="1"/>
  <c r="AE45" i="14" s="1"/>
  <c r="S42" i="14"/>
  <c r="V43" i="14" s="1"/>
  <c r="S51" i="29"/>
  <c r="O29" i="15"/>
  <c r="S35" i="14"/>
  <c r="V36" i="14" s="1"/>
  <c r="AE36" i="14" s="1"/>
  <c r="S55" i="29"/>
  <c r="V41" i="29"/>
  <c r="S67" i="29"/>
  <c r="S40" i="29"/>
  <c r="S58" i="29"/>
  <c r="S48" i="29"/>
  <c r="Y47" i="29"/>
  <c r="E34" i="22"/>
  <c r="E47" i="22" s="1"/>
  <c r="F34" i="22"/>
  <c r="F47" i="22" s="1"/>
  <c r="G34" i="22"/>
  <c r="G47" i="22" s="1"/>
  <c r="H34" i="22"/>
  <c r="H47" i="22" s="1"/>
  <c r="I34" i="22"/>
  <c r="I47" i="22" s="1"/>
  <c r="D35" i="25"/>
  <c r="D48" i="25" s="1"/>
  <c r="E35" i="25"/>
  <c r="E48" i="25" s="1"/>
  <c r="F35" i="25"/>
  <c r="F48" i="25" s="1"/>
  <c r="G35" i="25"/>
  <c r="G48" i="25" s="1"/>
  <c r="H35" i="25"/>
  <c r="H48" i="25" s="1"/>
  <c r="I35" i="25"/>
  <c r="I48" i="25" s="1"/>
  <c r="S45" i="29"/>
  <c r="E33" i="23"/>
  <c r="E46" i="23" s="1"/>
  <c r="I33" i="23"/>
  <c r="I46" i="23" s="1"/>
  <c r="F36" i="23"/>
  <c r="F49" i="23" s="1"/>
  <c r="I38" i="28"/>
  <c r="I51" i="28" s="1"/>
  <c r="C38" i="28"/>
  <c r="D38" i="28"/>
  <c r="D51" i="28" s="1"/>
  <c r="E38" i="28"/>
  <c r="E51" i="28" s="1"/>
  <c r="F38" i="28"/>
  <c r="F51" i="28" s="1"/>
  <c r="J45" i="17"/>
  <c r="K45" i="17" s="1"/>
  <c r="G33" i="25"/>
  <c r="G46" i="25" s="1"/>
  <c r="G32" i="22"/>
  <c r="G45" i="22" s="1"/>
  <c r="D35" i="24"/>
  <c r="D48" i="24" s="1"/>
  <c r="H34" i="17"/>
  <c r="H47" i="17" s="1"/>
  <c r="J47" i="17" s="1"/>
  <c r="K47" i="17" s="1"/>
  <c r="S46" i="14"/>
  <c r="V47" i="14" s="1"/>
  <c r="AE47" i="14" s="1"/>
  <c r="S38" i="14"/>
  <c r="V39" i="14" s="1"/>
  <c r="AE39" i="14" s="1"/>
  <c r="S36" i="14"/>
  <c r="V37" i="14" s="1"/>
  <c r="AE37" i="14" s="1"/>
  <c r="S37" i="14"/>
  <c r="AB38" i="14" s="1"/>
  <c r="AK38" i="14" s="1"/>
  <c r="W53" i="29"/>
  <c r="F9" i="29"/>
  <c r="F13" i="29"/>
  <c r="C35" i="26"/>
  <c r="F35" i="26"/>
  <c r="F48" i="26" s="1"/>
  <c r="H35" i="26"/>
  <c r="H48" i="26" s="1"/>
  <c r="I35" i="26"/>
  <c r="I48" i="26" s="1"/>
  <c r="S54" i="29"/>
  <c r="S62" i="29"/>
  <c r="Z73" i="29"/>
  <c r="S52" i="29"/>
  <c r="F14" i="29"/>
  <c r="H2" i="29" s="1"/>
  <c r="V43" i="29"/>
  <c r="E37" i="22"/>
  <c r="E50" i="22" s="1"/>
  <c r="F37" i="22"/>
  <c r="F50" i="22" s="1"/>
  <c r="G37" i="22"/>
  <c r="G50" i="22" s="1"/>
  <c r="H37" i="22"/>
  <c r="H50" i="22" s="1"/>
  <c r="D38" i="25"/>
  <c r="D51" i="25" s="1"/>
  <c r="E38" i="25"/>
  <c r="E51" i="25" s="1"/>
  <c r="F38" i="25"/>
  <c r="F51" i="25" s="1"/>
  <c r="H38" i="25"/>
  <c r="H51" i="25" s="1"/>
  <c r="F33" i="28"/>
  <c r="F46" i="28" s="1"/>
  <c r="I36" i="23"/>
  <c r="I49" i="23" s="1"/>
  <c r="C36" i="23"/>
  <c r="E36" i="23"/>
  <c r="E49" i="23" s="1"/>
  <c r="D36" i="23"/>
  <c r="D49" i="23" s="1"/>
  <c r="F38" i="23"/>
  <c r="F51" i="23" s="1"/>
  <c r="G38" i="23"/>
  <c r="G51" i="23" s="1"/>
  <c r="H38" i="23"/>
  <c r="H51" i="23" s="1"/>
  <c r="D38" i="23"/>
  <c r="D51" i="23" s="1"/>
  <c r="T22" i="15"/>
  <c r="Y22" i="15" s="1"/>
  <c r="AH22" i="15" s="1"/>
  <c r="D34" i="22"/>
  <c r="D47" i="22" s="1"/>
  <c r="J51" i="15"/>
  <c r="K51" i="15" s="1"/>
  <c r="P31" i="15"/>
  <c r="S40" i="14"/>
  <c r="V41" i="14" s="1"/>
  <c r="AE41" i="14" s="1"/>
  <c r="S32" i="14"/>
  <c r="AB33" i="14" s="1"/>
  <c r="AK33" i="14" s="1"/>
  <c r="S65" i="14"/>
  <c r="V65" i="14"/>
  <c r="AE65" i="14" s="1"/>
  <c r="S38" i="29"/>
  <c r="S66" i="29"/>
  <c r="S35" i="29"/>
  <c r="S56" i="29"/>
  <c r="Y48" i="29"/>
  <c r="E35" i="26"/>
  <c r="E48" i="26" s="1"/>
  <c r="S33" i="29"/>
  <c r="V67" i="29" s="1"/>
  <c r="F12" i="29"/>
  <c r="E35" i="22"/>
  <c r="E48" i="22" s="1"/>
  <c r="I35" i="22"/>
  <c r="I48" i="22" s="1"/>
  <c r="D35" i="22"/>
  <c r="D48" i="22" s="1"/>
  <c r="C35" i="22"/>
  <c r="F36" i="17"/>
  <c r="F49" i="17" s="1"/>
  <c r="G36" i="17"/>
  <c r="G49" i="17" s="1"/>
  <c r="I36" i="17"/>
  <c r="I49" i="17" s="1"/>
  <c r="C34" i="19"/>
  <c r="D34" i="19"/>
  <c r="D47" i="19" s="1"/>
  <c r="E34" i="19"/>
  <c r="E47" i="19" s="1"/>
  <c r="H34" i="19"/>
  <c r="H47" i="19" s="1"/>
  <c r="I34" i="19"/>
  <c r="I47" i="19" s="1"/>
  <c r="F36" i="24"/>
  <c r="F49" i="24" s="1"/>
  <c r="F34" i="19"/>
  <c r="F47" i="19" s="1"/>
  <c r="E34" i="15"/>
  <c r="E47" i="15" s="1"/>
  <c r="H40" i="18"/>
  <c r="H53" i="18" s="1"/>
  <c r="I40" i="18"/>
  <c r="I53" i="18" s="1"/>
  <c r="C40" i="18"/>
  <c r="C53" i="18" s="1"/>
  <c r="D40" i="18"/>
  <c r="D53" i="18" s="1"/>
  <c r="E40" i="18"/>
  <c r="E53" i="18" s="1"/>
  <c r="F40" i="18"/>
  <c r="F53" i="18" s="1"/>
  <c r="J48" i="18"/>
  <c r="K48" i="18" s="1"/>
  <c r="H50" i="15"/>
  <c r="J50" i="15" s="1"/>
  <c r="K50" i="15" s="1"/>
  <c r="R32" i="15"/>
  <c r="J47" i="16"/>
  <c r="K47" i="16" s="1"/>
  <c r="H36" i="17"/>
  <c r="H49" i="17" s="1"/>
  <c r="P29" i="15"/>
  <c r="S34" i="14"/>
  <c r="W35" i="14" s="1"/>
  <c r="AF35" i="14" s="1"/>
  <c r="S61" i="14"/>
  <c r="S59" i="14"/>
  <c r="H33" i="25"/>
  <c r="H46" i="25" s="1"/>
  <c r="I33" i="25"/>
  <c r="I46" i="25" s="1"/>
  <c r="S60" i="29"/>
  <c r="AA33" i="29"/>
  <c r="V61" i="29"/>
  <c r="D36" i="19"/>
  <c r="D49" i="19" s="1"/>
  <c r="E36" i="19"/>
  <c r="E49" i="19" s="1"/>
  <c r="F36" i="19"/>
  <c r="F49" i="19" s="1"/>
  <c r="G36" i="19"/>
  <c r="G49" i="19" s="1"/>
  <c r="H36" i="19"/>
  <c r="H49" i="19" s="1"/>
  <c r="I36" i="19"/>
  <c r="I49" i="19" s="1"/>
  <c r="R31" i="15"/>
  <c r="H48" i="15"/>
  <c r="J48" i="15" s="1"/>
  <c r="K48" i="15" s="1"/>
  <c r="L51" i="16"/>
  <c r="B13" i="13"/>
  <c r="D9" i="13"/>
  <c r="P32" i="15"/>
  <c r="S57" i="14"/>
  <c r="S55" i="14"/>
  <c r="V56" i="14" s="1"/>
  <c r="AE56" i="14" s="1"/>
  <c r="S53" i="14"/>
  <c r="S72" i="29"/>
  <c r="AA20" i="15"/>
  <c r="AJ20" i="15" s="1"/>
  <c r="AB20" i="15"/>
  <c r="AK20" i="15" s="1"/>
  <c r="S70" i="29"/>
  <c r="S39" i="29"/>
  <c r="E34" i="28"/>
  <c r="E47" i="28" s="1"/>
  <c r="G34" i="28"/>
  <c r="G47" i="28" s="1"/>
  <c r="H34" i="28"/>
  <c r="H47" i="28" s="1"/>
  <c r="I34" i="28"/>
  <c r="I47" i="28" s="1"/>
  <c r="S43" i="29"/>
  <c r="U43" i="29"/>
  <c r="S64" i="29"/>
  <c r="D34" i="28"/>
  <c r="D47" i="28" s="1"/>
  <c r="F15" i="29"/>
  <c r="AA38" i="29"/>
  <c r="F16" i="29"/>
  <c r="E34" i="26"/>
  <c r="E47" i="26" s="1"/>
  <c r="I34" i="26"/>
  <c r="I47" i="26" s="1"/>
  <c r="D34" i="26"/>
  <c r="D47" i="26" s="1"/>
  <c r="G34" i="26"/>
  <c r="G47" i="26" s="1"/>
  <c r="F34" i="26"/>
  <c r="F47" i="26" s="1"/>
  <c r="S41" i="29"/>
  <c r="C34" i="24"/>
  <c r="D34" i="24"/>
  <c r="D47" i="24" s="1"/>
  <c r="F34" i="24"/>
  <c r="F47" i="24" s="1"/>
  <c r="E34" i="24"/>
  <c r="E47" i="24" s="1"/>
  <c r="C32" i="21"/>
  <c r="D32" i="21"/>
  <c r="D45" i="21" s="1"/>
  <c r="E32" i="21"/>
  <c r="E45" i="21" s="1"/>
  <c r="F32" i="21"/>
  <c r="F45" i="21" s="1"/>
  <c r="C34" i="21"/>
  <c r="E34" i="21"/>
  <c r="E47" i="21" s="1"/>
  <c r="C38" i="20"/>
  <c r="D38" i="20"/>
  <c r="D51" i="20" s="1"/>
  <c r="E38" i="20"/>
  <c r="E51" i="20" s="1"/>
  <c r="F38" i="20"/>
  <c r="F51" i="20" s="1"/>
  <c r="G38" i="20"/>
  <c r="G51" i="20" s="1"/>
  <c r="H38" i="20"/>
  <c r="H51" i="20" s="1"/>
  <c r="C35" i="23"/>
  <c r="T19" i="15"/>
  <c r="M29" i="15"/>
  <c r="C38" i="25"/>
  <c r="C36" i="19"/>
  <c r="E33" i="15"/>
  <c r="E46" i="15" s="1"/>
  <c r="F33" i="15"/>
  <c r="F46" i="15" s="1"/>
  <c r="H33" i="15"/>
  <c r="C33" i="15"/>
  <c r="G33" i="15"/>
  <c r="G37" i="17"/>
  <c r="G50" i="17" s="1"/>
  <c r="G37" i="16"/>
  <c r="G50" i="16" s="1"/>
  <c r="H37" i="16"/>
  <c r="H50" i="16" s="1"/>
  <c r="I37" i="16"/>
  <c r="I50" i="16" s="1"/>
  <c r="D37" i="16"/>
  <c r="D50" i="16" s="1"/>
  <c r="E37" i="16"/>
  <c r="E50" i="16" s="1"/>
  <c r="P33" i="15"/>
  <c r="S51" i="14"/>
  <c r="S49" i="14"/>
  <c r="S47" i="14"/>
  <c r="G30" i="13"/>
  <c r="G29" i="13"/>
  <c r="G34" i="13"/>
  <c r="S33" i="15"/>
  <c r="W72" i="29"/>
  <c r="S47" i="29"/>
  <c r="S68" i="29"/>
  <c r="S69" i="29"/>
  <c r="C33" i="25"/>
  <c r="S57" i="29"/>
  <c r="C34" i="20"/>
  <c r="D34" i="20"/>
  <c r="D47" i="20" s="1"/>
  <c r="F34" i="20"/>
  <c r="F47" i="20" s="1"/>
  <c r="G34" i="20"/>
  <c r="G47" i="20" s="1"/>
  <c r="H34" i="20"/>
  <c r="H47" i="20" s="1"/>
  <c r="I34" i="20"/>
  <c r="I47" i="20" s="1"/>
  <c r="E34" i="20"/>
  <c r="E47" i="20" s="1"/>
  <c r="Q32" i="15"/>
  <c r="F33" i="25"/>
  <c r="F46" i="25" s="1"/>
  <c r="C33" i="19"/>
  <c r="S32" i="15"/>
  <c r="D36" i="15"/>
  <c r="D49" i="15" s="1"/>
  <c r="E36" i="15"/>
  <c r="E49" i="15" s="1"/>
  <c r="F36" i="15"/>
  <c r="F49" i="15" s="1"/>
  <c r="G36" i="15"/>
  <c r="G49" i="15" s="1"/>
  <c r="H36" i="15"/>
  <c r="H49" i="15" s="1"/>
  <c r="I36" i="15"/>
  <c r="I49" i="15" s="1"/>
  <c r="S63" i="14"/>
  <c r="P30" i="15"/>
  <c r="Z20" i="15"/>
  <c r="AI20" i="15" s="1"/>
  <c r="S45" i="14"/>
  <c r="S43" i="14"/>
  <c r="AB44" i="14" s="1"/>
  <c r="AK44" i="14" s="1"/>
  <c r="S41" i="14"/>
  <c r="W42" i="14" s="1"/>
  <c r="AF42" i="14" s="1"/>
  <c r="C44" i="12"/>
  <c r="C58" i="12"/>
  <c r="C61" i="12"/>
  <c r="E52" i="12"/>
  <c r="E17" i="12" s="1"/>
  <c r="G52" i="12"/>
  <c r="H52" i="12" s="1"/>
  <c r="I52" i="12" s="1"/>
  <c r="J52" i="12" s="1"/>
  <c r="J56" i="12" s="1"/>
  <c r="G53" i="12"/>
  <c r="H53" i="12" s="1"/>
  <c r="I53" i="12" s="1"/>
  <c r="J53" i="12" s="1"/>
  <c r="E53" i="12"/>
  <c r="E22" i="12" s="1"/>
  <c r="E51" i="12"/>
  <c r="E12" i="12" s="1"/>
  <c r="E54" i="12"/>
  <c r="E27" i="12" s="1"/>
  <c r="K46" i="16" l="1"/>
  <c r="L46" i="16" s="1"/>
  <c r="B8" i="13"/>
  <c r="X66" i="14"/>
  <c r="AG66" i="14" s="1"/>
  <c r="F18" i="29"/>
  <c r="Y34" i="29"/>
  <c r="Z42" i="29"/>
  <c r="Y67" i="29"/>
  <c r="AN70" i="14"/>
  <c r="AO70" i="14" s="1"/>
  <c r="AP70" i="14" s="1"/>
  <c r="AQ70" i="14" s="1"/>
  <c r="X38" i="29"/>
  <c r="G10" i="13"/>
  <c r="T32" i="15"/>
  <c r="Z63" i="29"/>
  <c r="X67" i="14"/>
  <c r="AG67" i="14" s="1"/>
  <c r="AN67" i="14" s="1"/>
  <c r="AO67" i="14" s="1"/>
  <c r="AP67" i="14" s="1"/>
  <c r="AQ67" i="14" s="1"/>
  <c r="V68" i="14"/>
  <c r="AE68" i="14" s="1"/>
  <c r="V51" i="29"/>
  <c r="V48" i="29"/>
  <c r="AB68" i="14"/>
  <c r="AK68" i="14" s="1"/>
  <c r="AA67" i="14"/>
  <c r="AJ67" i="14" s="1"/>
  <c r="AC44" i="8"/>
  <c r="AA55" i="29"/>
  <c r="Z68" i="29"/>
  <c r="Z68" i="14"/>
  <c r="AI68" i="14" s="1"/>
  <c r="V67" i="14"/>
  <c r="AE67" i="14" s="1"/>
  <c r="Y37" i="29"/>
  <c r="Y42" i="29"/>
  <c r="W20" i="15"/>
  <c r="AF20" i="15" s="1"/>
  <c r="V71" i="29"/>
  <c r="Z69" i="29"/>
  <c r="AN69" i="14"/>
  <c r="AO69" i="14" s="1"/>
  <c r="AP69" i="14" s="1"/>
  <c r="AQ69" i="14" s="1"/>
  <c r="Y67" i="14"/>
  <c r="AH67" i="14" s="1"/>
  <c r="AN71" i="14"/>
  <c r="AO71" i="14" s="1"/>
  <c r="AP71" i="14" s="1"/>
  <c r="AQ71" i="14" s="1"/>
  <c r="Z67" i="14"/>
  <c r="AI67" i="14" s="1"/>
  <c r="W49" i="29"/>
  <c r="W68" i="29"/>
  <c r="Y55" i="29"/>
  <c r="U36" i="29"/>
  <c r="W67" i="14"/>
  <c r="AF67" i="14" s="1"/>
  <c r="C11" i="4"/>
  <c r="Q11" i="4" s="1"/>
  <c r="AA48" i="9"/>
  <c r="J46" i="17"/>
  <c r="K46" i="17" s="1"/>
  <c r="J49" i="17"/>
  <c r="K49" i="17" s="1"/>
  <c r="L49" i="17" s="1"/>
  <c r="D12" i="13"/>
  <c r="Q40" i="7" s="1"/>
  <c r="K52" i="18"/>
  <c r="L52" i="18" s="1"/>
  <c r="J50" i="16"/>
  <c r="K50" i="16" s="1"/>
  <c r="L50" i="16" s="1"/>
  <c r="T29" i="15"/>
  <c r="C46" i="19"/>
  <c r="J46" i="19" s="1"/>
  <c r="K46" i="19" s="1"/>
  <c r="K50" i="18"/>
  <c r="L50" i="18" s="1"/>
  <c r="C51" i="20"/>
  <c r="J51" i="20" s="1"/>
  <c r="C45" i="19"/>
  <c r="J45" i="19" s="1"/>
  <c r="I7" i="13" s="1"/>
  <c r="K35" i="7" s="1"/>
  <c r="J12" i="19"/>
  <c r="J13" i="19" s="1"/>
  <c r="C44" i="19"/>
  <c r="C51" i="19"/>
  <c r="J51" i="19" s="1"/>
  <c r="I13" i="13" s="1"/>
  <c r="K41" i="7" s="1"/>
  <c r="D8" i="19"/>
  <c r="E8" i="19" s="1"/>
  <c r="C50" i="19"/>
  <c r="J50" i="19" s="1"/>
  <c r="I12" i="13" s="1"/>
  <c r="K40" i="7" s="1"/>
  <c r="C47" i="19"/>
  <c r="J47" i="19" s="1"/>
  <c r="K47" i="19" s="1"/>
  <c r="L47" i="19" s="1"/>
  <c r="C48" i="19"/>
  <c r="J48" i="19" s="1"/>
  <c r="K48" i="19" s="1"/>
  <c r="L48" i="19" s="1"/>
  <c r="C49" i="19"/>
  <c r="T31" i="15"/>
  <c r="Y20" i="15"/>
  <c r="AH20" i="15" s="1"/>
  <c r="AC22" i="15"/>
  <c r="AL22" i="15" s="1"/>
  <c r="AB34" i="14"/>
  <c r="AK34" i="14" s="1"/>
  <c r="AB31" i="14"/>
  <c r="AK31" i="14" s="1"/>
  <c r="AB32" i="14"/>
  <c r="AK32" i="14" s="1"/>
  <c r="X31" i="14"/>
  <c r="AG31" i="14" s="1"/>
  <c r="V31" i="14"/>
  <c r="AE31" i="14" s="1"/>
  <c r="V32" i="14"/>
  <c r="AE32" i="14" s="1"/>
  <c r="W32" i="14"/>
  <c r="AF32" i="14" s="1"/>
  <c r="F14" i="14"/>
  <c r="AC23" i="15"/>
  <c r="AL23" i="15" s="1"/>
  <c r="Y23" i="15"/>
  <c r="AH23" i="15" s="1"/>
  <c r="AA23" i="15"/>
  <c r="AJ23" i="15" s="1"/>
  <c r="W23" i="15"/>
  <c r="AF23" i="15" s="1"/>
  <c r="AB23" i="15"/>
  <c r="AK23" i="15" s="1"/>
  <c r="C62" i="12"/>
  <c r="Z22" i="15"/>
  <c r="AI22" i="15" s="1"/>
  <c r="Z23" i="15"/>
  <c r="AI23" i="15" s="1"/>
  <c r="AA22" i="15"/>
  <c r="AJ22" i="15" s="1"/>
  <c r="W40" i="14"/>
  <c r="AF40" i="14" s="1"/>
  <c r="W36" i="14"/>
  <c r="AF36" i="14" s="1"/>
  <c r="Y39" i="14"/>
  <c r="AH39" i="14" s="1"/>
  <c r="J49" i="15"/>
  <c r="K49" i="15" s="1"/>
  <c r="K36" i="12"/>
  <c r="AD36" i="12"/>
  <c r="Y36" i="12"/>
  <c r="U36" i="12"/>
  <c r="P36" i="12"/>
  <c r="H27" i="12"/>
  <c r="F27" i="12"/>
  <c r="G27" i="12"/>
  <c r="H12" i="12"/>
  <c r="F12" i="12"/>
  <c r="G12" i="12" s="1"/>
  <c r="G17" i="12"/>
  <c r="H17" i="12"/>
  <c r="F17" i="12"/>
  <c r="H22" i="12"/>
  <c r="G22" i="12"/>
  <c r="F22" i="12"/>
  <c r="G36" i="13"/>
  <c r="N37" i="7"/>
  <c r="Q37" i="7"/>
  <c r="N40" i="7"/>
  <c r="F41" i="7"/>
  <c r="N38" i="7"/>
  <c r="Q38" i="7"/>
  <c r="F39" i="7"/>
  <c r="F36" i="7"/>
  <c r="N39" i="7"/>
  <c r="Q39" i="7"/>
  <c r="L46" i="17"/>
  <c r="G8" i="13"/>
  <c r="L49" i="15"/>
  <c r="C10" i="13"/>
  <c r="I38" i="7" s="1"/>
  <c r="H10" i="14"/>
  <c r="I10" i="14" s="1"/>
  <c r="AE43" i="14"/>
  <c r="X67" i="29"/>
  <c r="Y36" i="29"/>
  <c r="W73" i="29"/>
  <c r="Z48" i="14"/>
  <c r="AI48" i="14" s="1"/>
  <c r="AA48" i="14"/>
  <c r="AJ48" i="14" s="1"/>
  <c r="AB48" i="14"/>
  <c r="AK48" i="14" s="1"/>
  <c r="X47" i="14"/>
  <c r="AG47" i="14" s="1"/>
  <c r="Y48" i="14"/>
  <c r="AH48" i="14" s="1"/>
  <c r="W48" i="14"/>
  <c r="AF48" i="14" s="1"/>
  <c r="X71" i="29"/>
  <c r="Z38" i="29"/>
  <c r="X65" i="29"/>
  <c r="W69" i="29"/>
  <c r="Z35" i="29"/>
  <c r="AA62" i="14"/>
  <c r="AJ62" i="14" s="1"/>
  <c r="AB62" i="14"/>
  <c r="AK62" i="14" s="1"/>
  <c r="X61" i="14"/>
  <c r="AG61" i="14" s="1"/>
  <c r="W62" i="14"/>
  <c r="AF62" i="14" s="1"/>
  <c r="Z62" i="14"/>
  <c r="AI62" i="14" s="1"/>
  <c r="Y62" i="14"/>
  <c r="AH62" i="14" s="1"/>
  <c r="X69" i="29"/>
  <c r="Y39" i="29"/>
  <c r="U66" i="29"/>
  <c r="V66" i="14"/>
  <c r="AE66" i="14" s="1"/>
  <c r="AB66" i="14"/>
  <c r="AK66" i="14" s="1"/>
  <c r="X65" i="14"/>
  <c r="AG65" i="14" s="1"/>
  <c r="AN65" i="14" s="1"/>
  <c r="AO65" i="14" s="1"/>
  <c r="AP65" i="14" s="1"/>
  <c r="AQ65" i="14" s="1"/>
  <c r="W66" i="14"/>
  <c r="AF66" i="14" s="1"/>
  <c r="Z66" i="14"/>
  <c r="AI66" i="14" s="1"/>
  <c r="Y66" i="14"/>
  <c r="AH66" i="14" s="1"/>
  <c r="AA66" i="14"/>
  <c r="AJ66" i="14" s="1"/>
  <c r="AA41" i="29"/>
  <c r="Z34" i="29"/>
  <c r="W37" i="29"/>
  <c r="W38" i="29"/>
  <c r="AA54" i="29"/>
  <c r="Z40" i="29"/>
  <c r="Z41" i="29"/>
  <c r="X63" i="29"/>
  <c r="J50" i="17"/>
  <c r="K50" i="17" s="1"/>
  <c r="X33" i="29"/>
  <c r="AA49" i="29"/>
  <c r="J47" i="15"/>
  <c r="K47" i="15" s="1"/>
  <c r="AA62" i="29"/>
  <c r="Y69" i="29"/>
  <c r="AA52" i="29"/>
  <c r="Y63" i="14"/>
  <c r="AH63" i="14" s="1"/>
  <c r="AA63" i="14"/>
  <c r="AJ63" i="14" s="1"/>
  <c r="AB63" i="14"/>
  <c r="AK63" i="14" s="1"/>
  <c r="W63" i="14"/>
  <c r="AF63" i="14" s="1"/>
  <c r="Z63" i="14"/>
  <c r="AI63" i="14" s="1"/>
  <c r="X62" i="14"/>
  <c r="AG62" i="14" s="1"/>
  <c r="AA65" i="29"/>
  <c r="X49" i="14"/>
  <c r="AG49" i="14" s="1"/>
  <c r="AA50" i="14"/>
  <c r="AJ50" i="14" s="1"/>
  <c r="AB50" i="14"/>
  <c r="AK50" i="14" s="1"/>
  <c r="W50" i="14"/>
  <c r="AF50" i="14" s="1"/>
  <c r="Z50" i="14"/>
  <c r="AI50" i="14" s="1"/>
  <c r="Y50" i="14"/>
  <c r="AH50" i="14" s="1"/>
  <c r="U69" i="29"/>
  <c r="U53" i="29"/>
  <c r="U37" i="29"/>
  <c r="U41" i="29"/>
  <c r="W36" i="29"/>
  <c r="U65" i="29"/>
  <c r="U49" i="29"/>
  <c r="U33" i="29"/>
  <c r="U73" i="29"/>
  <c r="U61" i="29"/>
  <c r="U45" i="29"/>
  <c r="U57" i="29"/>
  <c r="Z49" i="29"/>
  <c r="W54" i="29"/>
  <c r="AA68" i="29"/>
  <c r="AA58" i="14"/>
  <c r="AJ58" i="14" s="1"/>
  <c r="W58" i="14"/>
  <c r="AF58" i="14" s="1"/>
  <c r="Y58" i="14"/>
  <c r="AH58" i="14" s="1"/>
  <c r="Z58" i="14"/>
  <c r="AI58" i="14" s="1"/>
  <c r="X57" i="14"/>
  <c r="AG57" i="14" s="1"/>
  <c r="AB58" i="14"/>
  <c r="AK58" i="14" s="1"/>
  <c r="AA42" i="29"/>
  <c r="Y54" i="29"/>
  <c r="Z44" i="29"/>
  <c r="Y43" i="29"/>
  <c r="U62" i="29"/>
  <c r="X37" i="14"/>
  <c r="AG37" i="14" s="1"/>
  <c r="AA38" i="14"/>
  <c r="AJ38" i="14" s="1"/>
  <c r="W38" i="14"/>
  <c r="AF38" i="14" s="1"/>
  <c r="Z38" i="14"/>
  <c r="AI38" i="14" s="1"/>
  <c r="Y38" i="14"/>
  <c r="AH38" i="14" s="1"/>
  <c r="C9" i="13"/>
  <c r="L48" i="15"/>
  <c r="X72" i="29"/>
  <c r="Y57" i="29"/>
  <c r="W47" i="29"/>
  <c r="W59" i="29"/>
  <c r="Z62" i="29"/>
  <c r="X37" i="29"/>
  <c r="Y65" i="29"/>
  <c r="V36" i="29"/>
  <c r="X36" i="29"/>
  <c r="V72" i="29"/>
  <c r="U63" i="29"/>
  <c r="X45" i="29"/>
  <c r="J45" i="16"/>
  <c r="K45" i="16" s="1"/>
  <c r="AA35" i="14"/>
  <c r="AJ35" i="14" s="1"/>
  <c r="Z35" i="14"/>
  <c r="AI35" i="14" s="1"/>
  <c r="U51" i="29"/>
  <c r="Z58" i="29"/>
  <c r="G46" i="15"/>
  <c r="Q30" i="15"/>
  <c r="Y40" i="29"/>
  <c r="V35" i="29"/>
  <c r="Y35" i="29"/>
  <c r="V52" i="29"/>
  <c r="U56" i="29"/>
  <c r="Z67" i="29"/>
  <c r="AB41" i="14"/>
  <c r="AK41" i="14" s="1"/>
  <c r="AA41" i="14"/>
  <c r="AJ41" i="14" s="1"/>
  <c r="Z41" i="14"/>
  <c r="AI41" i="14" s="1"/>
  <c r="Y41" i="14"/>
  <c r="AH41" i="14" s="1"/>
  <c r="Y52" i="29"/>
  <c r="X53" i="29"/>
  <c r="X34" i="29"/>
  <c r="Y62" i="29"/>
  <c r="Z45" i="29"/>
  <c r="W62" i="29"/>
  <c r="Y51" i="29"/>
  <c r="U50" i="29"/>
  <c r="Y38" i="29"/>
  <c r="X40" i="14"/>
  <c r="AG40" i="14" s="1"/>
  <c r="X42" i="29"/>
  <c r="Y70" i="29"/>
  <c r="X41" i="29"/>
  <c r="V37" i="29"/>
  <c r="Z40" i="14"/>
  <c r="AI40" i="14" s="1"/>
  <c r="Y40" i="14"/>
  <c r="AH40" i="14" s="1"/>
  <c r="X39" i="14"/>
  <c r="AG39" i="14" s="1"/>
  <c r="AB40" i="14"/>
  <c r="AK40" i="14" s="1"/>
  <c r="AA40" i="14"/>
  <c r="AJ40" i="14" s="1"/>
  <c r="X50" i="29"/>
  <c r="W58" i="29"/>
  <c r="H8" i="15"/>
  <c r="I8" i="15" s="1"/>
  <c r="AF19" i="15"/>
  <c r="Y64" i="29"/>
  <c r="U68" i="29"/>
  <c r="AA47" i="29"/>
  <c r="AA52" i="14"/>
  <c r="AJ52" i="14" s="1"/>
  <c r="W52" i="14"/>
  <c r="AF52" i="14" s="1"/>
  <c r="Y52" i="14"/>
  <c r="AH52" i="14" s="1"/>
  <c r="Z52" i="14"/>
  <c r="AI52" i="14" s="1"/>
  <c r="X51" i="14"/>
  <c r="AG51" i="14" s="1"/>
  <c r="AB52" i="14"/>
  <c r="AK52" i="14" s="1"/>
  <c r="AA43" i="29"/>
  <c r="V53" i="29"/>
  <c r="W71" i="29"/>
  <c r="D46" i="15"/>
  <c r="N30" i="15"/>
  <c r="Y41" i="29"/>
  <c r="U72" i="29"/>
  <c r="Y45" i="29"/>
  <c r="X58" i="29"/>
  <c r="AA59" i="29"/>
  <c r="Z43" i="29"/>
  <c r="Y53" i="29"/>
  <c r="W65" i="29"/>
  <c r="W66" i="29"/>
  <c r="AA69" i="29"/>
  <c r="L48" i="16"/>
  <c r="B10" i="13"/>
  <c r="X39" i="29"/>
  <c r="U48" i="29"/>
  <c r="W60" i="29"/>
  <c r="U55" i="29"/>
  <c r="AB43" i="14"/>
  <c r="AA43" i="14"/>
  <c r="X42" i="14"/>
  <c r="AG42" i="14" s="1"/>
  <c r="W43" i="14"/>
  <c r="Z43" i="14"/>
  <c r="Y43" i="14"/>
  <c r="Y60" i="29"/>
  <c r="Z49" i="14"/>
  <c r="AI49" i="14" s="1"/>
  <c r="AA49" i="14"/>
  <c r="AJ49" i="14" s="1"/>
  <c r="AB49" i="14"/>
  <c r="AK49" i="14" s="1"/>
  <c r="W49" i="14"/>
  <c r="AF49" i="14" s="1"/>
  <c r="X48" i="14"/>
  <c r="AG48" i="14" s="1"/>
  <c r="Y49" i="14"/>
  <c r="AH49" i="14" s="1"/>
  <c r="X47" i="29"/>
  <c r="Z46" i="29"/>
  <c r="X46" i="29"/>
  <c r="AA44" i="29"/>
  <c r="U46" i="29"/>
  <c r="O33" i="15"/>
  <c r="X55" i="29"/>
  <c r="AA32" i="14"/>
  <c r="AJ32" i="14" s="1"/>
  <c r="Z31" i="14"/>
  <c r="AI31" i="14" s="1"/>
  <c r="Y32" i="14"/>
  <c r="AH32" i="14" s="1"/>
  <c r="AA31" i="14"/>
  <c r="AJ31" i="14" s="1"/>
  <c r="Y31" i="14"/>
  <c r="AH31" i="14" s="1"/>
  <c r="Z32" i="14"/>
  <c r="AI32" i="14" s="1"/>
  <c r="X44" i="29"/>
  <c r="AB21" i="15"/>
  <c r="AK21" i="15" s="1"/>
  <c r="W21" i="15"/>
  <c r="AF21" i="15" s="1"/>
  <c r="X21" i="15"/>
  <c r="AG21" i="15" s="1"/>
  <c r="AA21" i="15"/>
  <c r="AJ21" i="15" s="1"/>
  <c r="Y21" i="15"/>
  <c r="AH21" i="15" s="1"/>
  <c r="Y57" i="14"/>
  <c r="AH57" i="14" s="1"/>
  <c r="Z57" i="14"/>
  <c r="AI57" i="14" s="1"/>
  <c r="AA57" i="14"/>
  <c r="AJ57" i="14" s="1"/>
  <c r="AB57" i="14"/>
  <c r="AK57" i="14" s="1"/>
  <c r="W57" i="14"/>
  <c r="AF57" i="14" s="1"/>
  <c r="X56" i="14"/>
  <c r="AG56" i="14" s="1"/>
  <c r="AA50" i="29"/>
  <c r="Z39" i="29"/>
  <c r="W46" i="14"/>
  <c r="AF46" i="14" s="1"/>
  <c r="Y46" i="14"/>
  <c r="AH46" i="14" s="1"/>
  <c r="AB46" i="14"/>
  <c r="AK46" i="14" s="1"/>
  <c r="X45" i="14"/>
  <c r="AG45" i="14" s="1"/>
  <c r="AA46" i="14"/>
  <c r="AJ46" i="14" s="1"/>
  <c r="Z46" i="14"/>
  <c r="AI46" i="14" s="1"/>
  <c r="V40" i="29"/>
  <c r="W48" i="29"/>
  <c r="AA60" i="29"/>
  <c r="W55" i="29"/>
  <c r="V62" i="29"/>
  <c r="C46" i="15"/>
  <c r="M30" i="15"/>
  <c r="Y46" i="29"/>
  <c r="Y50" i="29"/>
  <c r="AA56" i="29"/>
  <c r="L47" i="16"/>
  <c r="B9" i="13"/>
  <c r="V65" i="29"/>
  <c r="W67" i="29"/>
  <c r="U38" i="29"/>
  <c r="Z21" i="15"/>
  <c r="AI21" i="15" s="1"/>
  <c r="Y58" i="29"/>
  <c r="W41" i="29"/>
  <c r="Z59" i="29"/>
  <c r="Y37" i="14"/>
  <c r="AH37" i="14" s="1"/>
  <c r="AA37" i="14"/>
  <c r="AJ37" i="14" s="1"/>
  <c r="W37" i="14"/>
  <c r="AF37" i="14" s="1"/>
  <c r="AB37" i="14"/>
  <c r="AK37" i="14" s="1"/>
  <c r="X36" i="14"/>
  <c r="AG36" i="14" s="1"/>
  <c r="Z37" i="14"/>
  <c r="AI37" i="14" s="1"/>
  <c r="L45" i="17"/>
  <c r="G7" i="13"/>
  <c r="V60" i="29"/>
  <c r="U40" i="29"/>
  <c r="V42" i="14"/>
  <c r="AE42" i="14" s="1"/>
  <c r="Y61" i="29"/>
  <c r="Z65" i="29"/>
  <c r="V48" i="14"/>
  <c r="AE48" i="14" s="1"/>
  <c r="V68" i="29"/>
  <c r="Z36" i="29"/>
  <c r="Y35" i="14"/>
  <c r="AH35" i="14" s="1"/>
  <c r="X51" i="29"/>
  <c r="V50" i="29"/>
  <c r="V33" i="14"/>
  <c r="AE33" i="14" s="1"/>
  <c r="X49" i="29"/>
  <c r="J53" i="18"/>
  <c r="K53" i="18" s="1"/>
  <c r="W61" i="29"/>
  <c r="AC21" i="15"/>
  <c r="AL21" i="15" s="1"/>
  <c r="V44" i="29"/>
  <c r="Y44" i="29"/>
  <c r="U60" i="29"/>
  <c r="AA72" i="29"/>
  <c r="L51" i="15"/>
  <c r="C12" i="13"/>
  <c r="I40" i="7" s="1"/>
  <c r="W64" i="29"/>
  <c r="W57" i="29"/>
  <c r="AA67" i="29"/>
  <c r="W70" i="29"/>
  <c r="W52" i="29"/>
  <c r="V44" i="14"/>
  <c r="AE44" i="14" s="1"/>
  <c r="W41" i="14"/>
  <c r="AF41" i="14" s="1"/>
  <c r="Y66" i="29"/>
  <c r="AA48" i="29"/>
  <c r="V50" i="14"/>
  <c r="AE50" i="14" s="1"/>
  <c r="V33" i="29"/>
  <c r="AA35" i="29"/>
  <c r="AA57" i="29"/>
  <c r="W33" i="29"/>
  <c r="V49" i="29"/>
  <c r="V63" i="29"/>
  <c r="Z34" i="14"/>
  <c r="AI34" i="14" s="1"/>
  <c r="W34" i="14"/>
  <c r="AF34" i="14" s="1"/>
  <c r="AA34" i="14"/>
  <c r="AJ34" i="14" s="1"/>
  <c r="X33" i="14"/>
  <c r="AG33" i="14" s="1"/>
  <c r="X54" i="29"/>
  <c r="Y56" i="29"/>
  <c r="Z37" i="29"/>
  <c r="U34" i="29"/>
  <c r="AO20" i="15"/>
  <c r="AP20" i="15" s="1"/>
  <c r="AQ20" i="15" s="1"/>
  <c r="AR20" i="15" s="1"/>
  <c r="W39" i="29"/>
  <c r="H46" i="15"/>
  <c r="R30" i="15"/>
  <c r="Y33" i="29"/>
  <c r="W51" i="29"/>
  <c r="AA73" i="29"/>
  <c r="U47" i="29"/>
  <c r="AA51" i="29"/>
  <c r="U64" i="29"/>
  <c r="Z72" i="29"/>
  <c r="U39" i="29"/>
  <c r="W34" i="29"/>
  <c r="AA37" i="29"/>
  <c r="W35" i="29"/>
  <c r="X68" i="29"/>
  <c r="V56" i="29"/>
  <c r="U52" i="29"/>
  <c r="W40" i="29"/>
  <c r="W56" i="29"/>
  <c r="V38" i="14"/>
  <c r="AE38" i="14" s="1"/>
  <c r="V73" i="29"/>
  <c r="W46" i="29"/>
  <c r="U67" i="29"/>
  <c r="V35" i="14"/>
  <c r="AE35" i="14" s="1"/>
  <c r="Y45" i="14"/>
  <c r="AH45" i="14" s="1"/>
  <c r="Z45" i="14"/>
  <c r="AI45" i="14" s="1"/>
  <c r="AA45" i="14"/>
  <c r="AJ45" i="14" s="1"/>
  <c r="X44" i="14"/>
  <c r="AG44" i="14" s="1"/>
  <c r="AB45" i="14"/>
  <c r="AK45" i="14" s="1"/>
  <c r="W45" i="14"/>
  <c r="AF45" i="14" s="1"/>
  <c r="V64" i="29"/>
  <c r="Y73" i="29"/>
  <c r="Y51" i="14"/>
  <c r="AH51" i="14" s="1"/>
  <c r="Z51" i="14"/>
  <c r="AI51" i="14" s="1"/>
  <c r="AA51" i="14"/>
  <c r="AJ51" i="14" s="1"/>
  <c r="X50" i="14"/>
  <c r="AG50" i="14" s="1"/>
  <c r="W51" i="14"/>
  <c r="AF51" i="14" s="1"/>
  <c r="AB51" i="14"/>
  <c r="AK51" i="14" s="1"/>
  <c r="AA40" i="29"/>
  <c r="Y72" i="29"/>
  <c r="O30" i="15"/>
  <c r="V59" i="29"/>
  <c r="AA61" i="29"/>
  <c r="Z51" i="29"/>
  <c r="H52" i="15"/>
  <c r="R33" i="15"/>
  <c r="L47" i="18"/>
  <c r="D7" i="13"/>
  <c r="X34" i="14"/>
  <c r="AG34" i="14" s="1"/>
  <c r="X59" i="29"/>
  <c r="AA58" i="29"/>
  <c r="X40" i="29"/>
  <c r="X56" i="29"/>
  <c r="V57" i="29"/>
  <c r="Z48" i="29"/>
  <c r="Z53" i="29"/>
  <c r="V39" i="29"/>
  <c r="U35" i="29"/>
  <c r="X48" i="29"/>
  <c r="AB22" i="15"/>
  <c r="AK22" i="15" s="1"/>
  <c r="X22" i="15"/>
  <c r="AG22" i="15" s="1"/>
  <c r="W22" i="15"/>
  <c r="AF22" i="15" s="1"/>
  <c r="X73" i="29"/>
  <c r="AA63" i="29"/>
  <c r="W63" i="29"/>
  <c r="V54" i="29"/>
  <c r="AB39" i="14"/>
  <c r="AK39" i="14" s="1"/>
  <c r="AA39" i="14"/>
  <c r="AJ39" i="14" s="1"/>
  <c r="X38" i="14"/>
  <c r="AG38" i="14" s="1"/>
  <c r="W39" i="14"/>
  <c r="AF39" i="14" s="1"/>
  <c r="V38" i="29"/>
  <c r="U58" i="29"/>
  <c r="Z36" i="14"/>
  <c r="AI36" i="14" s="1"/>
  <c r="X35" i="14"/>
  <c r="AG35" i="14" s="1"/>
  <c r="AA36" i="14"/>
  <c r="AJ36" i="14" s="1"/>
  <c r="Y36" i="14"/>
  <c r="AH36" i="14" s="1"/>
  <c r="AB36" i="14"/>
  <c r="AK36" i="14" s="1"/>
  <c r="V52" i="14"/>
  <c r="AE52" i="14" s="1"/>
  <c r="AA71" i="29"/>
  <c r="U44" i="29"/>
  <c r="U59" i="29"/>
  <c r="V58" i="14"/>
  <c r="AE58" i="14" s="1"/>
  <c r="V46" i="29"/>
  <c r="W43" i="29"/>
  <c r="Y34" i="14"/>
  <c r="AH34" i="14" s="1"/>
  <c r="AA66" i="29"/>
  <c r="AA70" i="29"/>
  <c r="AA61" i="14"/>
  <c r="AJ61" i="14" s="1"/>
  <c r="Z61" i="14"/>
  <c r="AI61" i="14" s="1"/>
  <c r="W61" i="14"/>
  <c r="AF61" i="14" s="1"/>
  <c r="AB61" i="14"/>
  <c r="AK61" i="14" s="1"/>
  <c r="X60" i="14"/>
  <c r="AG60" i="14" s="1"/>
  <c r="Y61" i="14"/>
  <c r="AH61" i="14" s="1"/>
  <c r="AA33" i="14"/>
  <c r="AJ33" i="14" s="1"/>
  <c r="W33" i="14"/>
  <c r="AF33" i="14" s="1"/>
  <c r="Y33" i="14"/>
  <c r="AH33" i="14" s="1"/>
  <c r="X32" i="14"/>
  <c r="AG32" i="14" s="1"/>
  <c r="Z33" i="14"/>
  <c r="AI33" i="14" s="1"/>
  <c r="Y63" i="29"/>
  <c r="X43" i="29"/>
  <c r="AA64" i="14"/>
  <c r="AJ64" i="14" s="1"/>
  <c r="W64" i="14"/>
  <c r="AF64" i="14" s="1"/>
  <c r="V64" i="14"/>
  <c r="AE64" i="14" s="1"/>
  <c r="Y64" i="14"/>
  <c r="AH64" i="14" s="1"/>
  <c r="X63" i="14"/>
  <c r="AG63" i="14" s="1"/>
  <c r="Z64" i="14"/>
  <c r="AI64" i="14" s="1"/>
  <c r="AB64" i="14"/>
  <c r="AK64" i="14" s="1"/>
  <c r="Z52" i="29"/>
  <c r="J49" i="19"/>
  <c r="K49" i="19" s="1"/>
  <c r="X61" i="29"/>
  <c r="Z70" i="29"/>
  <c r="Z71" i="29"/>
  <c r="X60" i="29"/>
  <c r="W45" i="29"/>
  <c r="W60" i="14"/>
  <c r="AF60" i="14" s="1"/>
  <c r="Z60" i="14"/>
  <c r="AI60" i="14" s="1"/>
  <c r="X59" i="14"/>
  <c r="AG59" i="14" s="1"/>
  <c r="AB60" i="14"/>
  <c r="AK60" i="14" s="1"/>
  <c r="Y60" i="14"/>
  <c r="AH60" i="14" s="1"/>
  <c r="AA60" i="14"/>
  <c r="AJ60" i="14" s="1"/>
  <c r="L48" i="18"/>
  <c r="D8" i="13"/>
  <c r="AA46" i="29"/>
  <c r="Y71" i="29"/>
  <c r="X35" i="29"/>
  <c r="V69" i="29"/>
  <c r="Z66" i="29"/>
  <c r="U54" i="29"/>
  <c r="V46" i="14"/>
  <c r="AE46" i="14" s="1"/>
  <c r="AA45" i="29"/>
  <c r="W42" i="29"/>
  <c r="AB53" i="14"/>
  <c r="AK53" i="14" s="1"/>
  <c r="X52" i="14"/>
  <c r="AG52" i="14" s="1"/>
  <c r="W53" i="14"/>
  <c r="AF53" i="14" s="1"/>
  <c r="AA53" i="14"/>
  <c r="AJ53" i="14" s="1"/>
  <c r="Z53" i="14"/>
  <c r="AI53" i="14" s="1"/>
  <c r="Y53" i="14"/>
  <c r="AH53" i="14" s="1"/>
  <c r="AA36" i="29"/>
  <c r="Y59" i="14"/>
  <c r="AH59" i="14" s="1"/>
  <c r="AB59" i="14"/>
  <c r="AK59" i="14" s="1"/>
  <c r="X58" i="14"/>
  <c r="AG58" i="14" s="1"/>
  <c r="W59" i="14"/>
  <c r="AF59" i="14" s="1"/>
  <c r="Z59" i="14"/>
  <c r="AI59" i="14" s="1"/>
  <c r="AA59" i="14"/>
  <c r="AJ59" i="14" s="1"/>
  <c r="AA53" i="29"/>
  <c r="Z55" i="29"/>
  <c r="Z55" i="14"/>
  <c r="AI55" i="14" s="1"/>
  <c r="W55" i="14"/>
  <c r="AF55" i="14" s="1"/>
  <c r="Y55" i="14"/>
  <c r="AH55" i="14" s="1"/>
  <c r="X54" i="14"/>
  <c r="AG54" i="14" s="1"/>
  <c r="AB55" i="14"/>
  <c r="AK55" i="14" s="1"/>
  <c r="AA55" i="14"/>
  <c r="AJ55" i="14" s="1"/>
  <c r="Z39" i="14"/>
  <c r="AI39" i="14" s="1"/>
  <c r="Y59" i="29"/>
  <c r="V60" i="14"/>
  <c r="AE60" i="14" s="1"/>
  <c r="D52" i="15"/>
  <c r="N33" i="15"/>
  <c r="U42" i="29"/>
  <c r="AN68" i="14"/>
  <c r="AO68" i="14" s="1"/>
  <c r="AP68" i="14" s="1"/>
  <c r="AQ68" i="14" s="1"/>
  <c r="X43" i="14"/>
  <c r="AA44" i="14"/>
  <c r="AJ44" i="14" s="1"/>
  <c r="Z44" i="14"/>
  <c r="AI44" i="14" s="1"/>
  <c r="W44" i="14"/>
  <c r="AF44" i="14" s="1"/>
  <c r="Y44" i="14"/>
  <c r="AH44" i="14" s="1"/>
  <c r="X55" i="14"/>
  <c r="AG55" i="14" s="1"/>
  <c r="AA56" i="14"/>
  <c r="AJ56" i="14" s="1"/>
  <c r="AB56" i="14"/>
  <c r="AK56" i="14" s="1"/>
  <c r="W56" i="14"/>
  <c r="AF56" i="14" s="1"/>
  <c r="Y56" i="14"/>
  <c r="AH56" i="14" s="1"/>
  <c r="Z56" i="14"/>
  <c r="AI56" i="14" s="1"/>
  <c r="L47" i="17"/>
  <c r="G9" i="13"/>
  <c r="V57" i="14"/>
  <c r="AE57" i="14" s="1"/>
  <c r="Y49" i="29"/>
  <c r="L50" i="15"/>
  <c r="C11" i="13"/>
  <c r="V66" i="29"/>
  <c r="X52" i="29"/>
  <c r="AA34" i="29"/>
  <c r="X57" i="29"/>
  <c r="Z57" i="29"/>
  <c r="AA64" i="29"/>
  <c r="U70" i="29"/>
  <c r="Z42" i="14"/>
  <c r="AI42" i="14" s="1"/>
  <c r="X41" i="14"/>
  <c r="AG41" i="14" s="1"/>
  <c r="AA42" i="14"/>
  <c r="AJ42" i="14" s="1"/>
  <c r="Y42" i="14"/>
  <c r="AH42" i="14" s="1"/>
  <c r="AB42" i="14"/>
  <c r="AK42" i="14" s="1"/>
  <c r="X62" i="29"/>
  <c r="Z33" i="29"/>
  <c r="I10" i="13"/>
  <c r="K38" i="7" s="1"/>
  <c r="X66" i="29"/>
  <c r="V70" i="29"/>
  <c r="Z54" i="29"/>
  <c r="Z47" i="29"/>
  <c r="W54" i="14"/>
  <c r="AF54" i="14" s="1"/>
  <c r="Z54" i="14"/>
  <c r="AI54" i="14" s="1"/>
  <c r="AA54" i="14"/>
  <c r="AJ54" i="14" s="1"/>
  <c r="Y54" i="14"/>
  <c r="AH54" i="14" s="1"/>
  <c r="AB54" i="14"/>
  <c r="AK54" i="14" s="1"/>
  <c r="X53" i="14"/>
  <c r="AG53" i="14" s="1"/>
  <c r="X70" i="29"/>
  <c r="W44" i="29"/>
  <c r="X64" i="29"/>
  <c r="W50" i="29"/>
  <c r="V34" i="29"/>
  <c r="Z50" i="29"/>
  <c r="AB47" i="14"/>
  <c r="AK47" i="14" s="1"/>
  <c r="X46" i="14"/>
  <c r="AG46" i="14" s="1"/>
  <c r="W47" i="14"/>
  <c r="AF47" i="14" s="1"/>
  <c r="Z47" i="14"/>
  <c r="AI47" i="14" s="1"/>
  <c r="Y47" i="14"/>
  <c r="AH47" i="14" s="1"/>
  <c r="AA47" i="14"/>
  <c r="AJ47" i="14" s="1"/>
  <c r="V47" i="29"/>
  <c r="Z64" i="29"/>
  <c r="Z60" i="29"/>
  <c r="V42" i="29"/>
  <c r="U71" i="29"/>
  <c r="AA39" i="29"/>
  <c r="AB35" i="14"/>
  <c r="AK35" i="14" s="1"/>
  <c r="V55" i="29"/>
  <c r="V58" i="29"/>
  <c r="V54" i="14"/>
  <c r="AE54" i="14" s="1"/>
  <c r="Y68" i="29"/>
  <c r="Z56" i="29"/>
  <c r="V62" i="14"/>
  <c r="AE62" i="14" s="1"/>
  <c r="C52" i="15"/>
  <c r="M33" i="15"/>
  <c r="V45" i="29"/>
  <c r="D59" i="12"/>
  <c r="J15" i="12" s="1"/>
  <c r="D60" i="12"/>
  <c r="I20" i="12" s="1"/>
  <c r="D58" i="12"/>
  <c r="I10" i="12" s="1"/>
  <c r="D61" i="12"/>
  <c r="B12" i="13" l="1"/>
  <c r="J20" i="12"/>
  <c r="G11" i="13"/>
  <c r="I9" i="13"/>
  <c r="K37" i="7" s="1"/>
  <c r="K51" i="19"/>
  <c r="L51" i="19" s="1"/>
  <c r="K50" i="19"/>
  <c r="L50" i="19" s="1"/>
  <c r="K51" i="20"/>
  <c r="L51" i="20" s="1"/>
  <c r="B7" i="21"/>
  <c r="J12" i="20"/>
  <c r="J13" i="20" s="1"/>
  <c r="D8" i="20"/>
  <c r="E8" i="20" s="1"/>
  <c r="C46" i="20"/>
  <c r="J46" i="20" s="1"/>
  <c r="H8" i="13" s="1"/>
  <c r="L36" i="7" s="1"/>
  <c r="C45" i="20"/>
  <c r="J45" i="20" s="1"/>
  <c r="H7" i="13" s="1"/>
  <c r="L35" i="7" s="1"/>
  <c r="C49" i="20"/>
  <c r="J49" i="20" s="1"/>
  <c r="H11" i="13" s="1"/>
  <c r="L39" i="7" s="1"/>
  <c r="C50" i="20"/>
  <c r="J50" i="20" s="1"/>
  <c r="H12" i="13" s="1"/>
  <c r="L40" i="7" s="1"/>
  <c r="C48" i="20"/>
  <c r="J48" i="20" s="1"/>
  <c r="H10" i="13" s="1"/>
  <c r="L38" i="7" s="1"/>
  <c r="T33" i="15"/>
  <c r="K45" i="19"/>
  <c r="L45" i="19" s="1"/>
  <c r="C47" i="20"/>
  <c r="J47" i="20" s="1"/>
  <c r="H9" i="13" s="1"/>
  <c r="L37" i="7" s="1"/>
  <c r="AO23" i="15"/>
  <c r="AP23" i="15" s="1"/>
  <c r="AQ23" i="15" s="1"/>
  <c r="AR23" i="15" s="1"/>
  <c r="AN34" i="14"/>
  <c r="AO34" i="14" s="1"/>
  <c r="AP34" i="14" s="1"/>
  <c r="AQ34" i="14" s="1"/>
  <c r="AN37" i="14"/>
  <c r="AO37" i="14" s="1"/>
  <c r="AP37" i="14" s="1"/>
  <c r="AQ37" i="14" s="1"/>
  <c r="AN36" i="14"/>
  <c r="AO36" i="14" s="1"/>
  <c r="AP36" i="14" s="1"/>
  <c r="AQ36" i="14" s="1"/>
  <c r="AN56" i="14"/>
  <c r="AO56" i="14" s="1"/>
  <c r="AP56" i="14" s="1"/>
  <c r="AQ56" i="14" s="1"/>
  <c r="AO22" i="15"/>
  <c r="AP22" i="15" s="1"/>
  <c r="AQ22" i="15" s="1"/>
  <c r="AR22" i="15" s="1"/>
  <c r="M22" i="12"/>
  <c r="I22" i="12"/>
  <c r="J22" i="12" s="1"/>
  <c r="K22" i="12" s="1"/>
  <c r="L22" i="12" s="1"/>
  <c r="M27" i="12"/>
  <c r="I27" i="12"/>
  <c r="J27" i="12" s="1"/>
  <c r="K27" i="12" s="1"/>
  <c r="L27" i="12" s="1"/>
  <c r="J10" i="12"/>
  <c r="M17" i="12"/>
  <c r="R17" i="12" s="1"/>
  <c r="I17" i="12"/>
  <c r="J17" i="12" s="1"/>
  <c r="K17" i="12" s="1"/>
  <c r="L17" i="12" s="1"/>
  <c r="T10" i="12"/>
  <c r="X25" i="12"/>
  <c r="I25" i="12"/>
  <c r="J25" i="12"/>
  <c r="X15" i="12"/>
  <c r="I15" i="12"/>
  <c r="M12" i="12"/>
  <c r="R12" i="12" s="1"/>
  <c r="I12" i="12"/>
  <c r="J12" i="12" s="1"/>
  <c r="K12" i="12" s="1"/>
  <c r="L12" i="12" s="1"/>
  <c r="X10" i="12"/>
  <c r="AC10" i="12"/>
  <c r="AN53" i="14"/>
  <c r="AO53" i="14" s="1"/>
  <c r="AP53" i="14" s="1"/>
  <c r="AQ53" i="14" s="1"/>
  <c r="AN39" i="14"/>
  <c r="AO39" i="14" s="1"/>
  <c r="AP39" i="14" s="1"/>
  <c r="AQ39" i="14" s="1"/>
  <c r="AN40" i="14"/>
  <c r="AO40" i="14" s="1"/>
  <c r="AP40" i="14" s="1"/>
  <c r="AQ40" i="14" s="1"/>
  <c r="AN48" i="14"/>
  <c r="AO48" i="14" s="1"/>
  <c r="AP48" i="14" s="1"/>
  <c r="AQ48" i="14" s="1"/>
  <c r="AN47" i="14"/>
  <c r="AO47" i="14" s="1"/>
  <c r="AP47" i="14" s="1"/>
  <c r="AQ47" i="14" s="1"/>
  <c r="AN55" i="14"/>
  <c r="AO55" i="14" s="1"/>
  <c r="AP55" i="14" s="1"/>
  <c r="AQ55" i="14" s="1"/>
  <c r="AN61" i="14"/>
  <c r="AO61" i="14" s="1"/>
  <c r="AP61" i="14" s="1"/>
  <c r="AQ61" i="14" s="1"/>
  <c r="AN45" i="14"/>
  <c r="AO45" i="14" s="1"/>
  <c r="AP45" i="14" s="1"/>
  <c r="AQ45" i="14" s="1"/>
  <c r="AN59" i="14"/>
  <c r="AO59" i="14" s="1"/>
  <c r="AP59" i="14" s="1"/>
  <c r="AQ59" i="14" s="1"/>
  <c r="AN32" i="14"/>
  <c r="AO32" i="14" s="1"/>
  <c r="AP32" i="14" s="1"/>
  <c r="AQ32" i="14" s="1"/>
  <c r="AN51" i="14"/>
  <c r="AO51" i="14" s="1"/>
  <c r="AP51" i="14" s="1"/>
  <c r="AQ51" i="14" s="1"/>
  <c r="AN62" i="14"/>
  <c r="AO62" i="14" s="1"/>
  <c r="AP62" i="14" s="1"/>
  <c r="AQ62" i="14" s="1"/>
  <c r="AN63" i="14"/>
  <c r="AO63" i="14" s="1"/>
  <c r="AP63" i="14" s="1"/>
  <c r="AQ63" i="14" s="1"/>
  <c r="AN41" i="14"/>
  <c r="AO41" i="14" s="1"/>
  <c r="AP41" i="14" s="1"/>
  <c r="AQ41" i="14" s="1"/>
  <c r="AN31" i="14"/>
  <c r="AO31" i="14" s="1"/>
  <c r="AP31" i="14" s="1"/>
  <c r="AQ31" i="14" s="1"/>
  <c r="AN49" i="14"/>
  <c r="AO49" i="14" s="1"/>
  <c r="AP49" i="14" s="1"/>
  <c r="AQ49" i="14" s="1"/>
  <c r="I37" i="7"/>
  <c r="I39" i="7"/>
  <c r="L36" i="12"/>
  <c r="K25" i="12"/>
  <c r="K15" i="12"/>
  <c r="K20" i="12"/>
  <c r="K10" i="12"/>
  <c r="N20" i="12"/>
  <c r="AF20" i="12"/>
  <c r="AG20" i="12"/>
  <c r="W20" i="12"/>
  <c r="S20" i="12"/>
  <c r="AB20" i="12"/>
  <c r="T15" i="12"/>
  <c r="T25" i="12"/>
  <c r="N15" i="12"/>
  <c r="AF15" i="12"/>
  <c r="AG15" i="12"/>
  <c r="W15" i="12"/>
  <c r="AB15" i="12"/>
  <c r="S15" i="12"/>
  <c r="T20" i="12"/>
  <c r="AC25" i="12"/>
  <c r="V36" i="12"/>
  <c r="U15" i="12"/>
  <c r="U20" i="12"/>
  <c r="U25" i="12"/>
  <c r="U10" i="12"/>
  <c r="AE36" i="12"/>
  <c r="AD15" i="12"/>
  <c r="AD20" i="12"/>
  <c r="AD10" i="12"/>
  <c r="AD25" i="12"/>
  <c r="AC20" i="12"/>
  <c r="X20" i="12"/>
  <c r="AC15" i="12"/>
  <c r="N25" i="12"/>
  <c r="AF25" i="12"/>
  <c r="AG25" i="12"/>
  <c r="W25" i="12"/>
  <c r="AB25" i="12"/>
  <c r="S25" i="12"/>
  <c r="N10" i="12"/>
  <c r="AF10" i="12"/>
  <c r="S10" i="12"/>
  <c r="Y10" i="12"/>
  <c r="Y15" i="12"/>
  <c r="Z36" i="12"/>
  <c r="Y20" i="12"/>
  <c r="Y25" i="12"/>
  <c r="R22" i="12"/>
  <c r="N22" i="12"/>
  <c r="O22" i="12" s="1"/>
  <c r="P22" i="12" s="1"/>
  <c r="Q22" i="12" s="1"/>
  <c r="R27" i="12"/>
  <c r="N27" i="12"/>
  <c r="O27" i="12" s="1"/>
  <c r="P27" i="12" s="1"/>
  <c r="Q27" i="12" s="1"/>
  <c r="O15" i="12"/>
  <c r="O10" i="12"/>
  <c r="O20" i="12"/>
  <c r="O25" i="12"/>
  <c r="Q36" i="12"/>
  <c r="P20" i="12"/>
  <c r="P10" i="12"/>
  <c r="P25" i="12"/>
  <c r="P15" i="12"/>
  <c r="F20" i="12"/>
  <c r="G20" i="12"/>
  <c r="F15" i="12"/>
  <c r="G15" i="12"/>
  <c r="E15" i="12"/>
  <c r="F25" i="12"/>
  <c r="G25" i="12"/>
  <c r="G10" i="12"/>
  <c r="F10" i="12"/>
  <c r="D62" i="12"/>
  <c r="F38" i="7"/>
  <c r="N35" i="7"/>
  <c r="Q35" i="7"/>
  <c r="F40" i="7"/>
  <c r="F37" i="7"/>
  <c r="Q36" i="7"/>
  <c r="N36" i="7"/>
  <c r="AN46" i="14"/>
  <c r="AO46" i="14" s="1"/>
  <c r="AP46" i="14" s="1"/>
  <c r="AQ46" i="14" s="1"/>
  <c r="AN58" i="14"/>
  <c r="AO58" i="14" s="1"/>
  <c r="AP58" i="14" s="1"/>
  <c r="AQ58" i="14" s="1"/>
  <c r="L46" i="19"/>
  <c r="I8" i="13"/>
  <c r="K36" i="7" s="1"/>
  <c r="AN33" i="14"/>
  <c r="AO33" i="14" s="1"/>
  <c r="AP33" i="14" s="1"/>
  <c r="AQ33" i="14" s="1"/>
  <c r="AJ43" i="14"/>
  <c r="H8" i="14"/>
  <c r="I8" i="14" s="1"/>
  <c r="AN54" i="14"/>
  <c r="AO54" i="14" s="1"/>
  <c r="AP54" i="14" s="1"/>
  <c r="AQ54" i="14" s="1"/>
  <c r="AN57" i="14"/>
  <c r="AO57" i="14" s="1"/>
  <c r="AP57" i="14" s="1"/>
  <c r="AQ57" i="14" s="1"/>
  <c r="AN50" i="14"/>
  <c r="AO50" i="14" s="1"/>
  <c r="AP50" i="14" s="1"/>
  <c r="AQ50" i="14" s="1"/>
  <c r="L49" i="19"/>
  <c r="I11" i="13"/>
  <c r="H6" i="14"/>
  <c r="I6" i="14" s="1"/>
  <c r="AG43" i="14"/>
  <c r="AN42" i="14"/>
  <c r="AO42" i="14" s="1"/>
  <c r="AP42" i="14" s="1"/>
  <c r="AQ42" i="14" s="1"/>
  <c r="T30" i="15"/>
  <c r="AK19" i="15"/>
  <c r="H6" i="15"/>
  <c r="I6" i="15" s="1"/>
  <c r="L47" i="15"/>
  <c r="C8" i="13"/>
  <c r="AN52" i="14"/>
  <c r="AO52" i="14" s="1"/>
  <c r="AP52" i="14" s="1"/>
  <c r="AQ52" i="14" s="1"/>
  <c r="AN35" i="14"/>
  <c r="AO35" i="14" s="1"/>
  <c r="AP35" i="14" s="1"/>
  <c r="AQ35" i="14" s="1"/>
  <c r="J46" i="15"/>
  <c r="K46" i="15" s="1"/>
  <c r="AJ19" i="15"/>
  <c r="H5" i="15"/>
  <c r="I5" i="15" s="1"/>
  <c r="H13" i="13"/>
  <c r="L41" i="7" s="1"/>
  <c r="L45" i="16"/>
  <c r="B7" i="13"/>
  <c r="H9" i="15"/>
  <c r="I9" i="15" s="1"/>
  <c r="AG19" i="15"/>
  <c r="AH19" i="15"/>
  <c r="H4" i="15"/>
  <c r="AK43" i="14"/>
  <c r="H12" i="14"/>
  <c r="I12" i="14" s="1"/>
  <c r="AN44" i="14"/>
  <c r="AO44" i="14" s="1"/>
  <c r="AP44" i="14" s="1"/>
  <c r="AQ44" i="14" s="1"/>
  <c r="AO21" i="15"/>
  <c r="AP21" i="15" s="1"/>
  <c r="AQ21" i="15" s="1"/>
  <c r="AR21" i="15" s="1"/>
  <c r="L50" i="17"/>
  <c r="G12" i="13"/>
  <c r="AN38" i="14"/>
  <c r="AO38" i="14" s="1"/>
  <c r="AP38" i="14" s="1"/>
  <c r="AQ38" i="14" s="1"/>
  <c r="H9" i="14"/>
  <c r="I9" i="14" s="1"/>
  <c r="AH43" i="14"/>
  <c r="AI19" i="15"/>
  <c r="H7" i="15"/>
  <c r="I7" i="15" s="1"/>
  <c r="J52" i="15"/>
  <c r="K52" i="15" s="1"/>
  <c r="AN60" i="14"/>
  <c r="AO60" i="14" s="1"/>
  <c r="AP60" i="14" s="1"/>
  <c r="AQ60" i="14" s="1"/>
  <c r="AN64" i="14"/>
  <c r="AO64" i="14" s="1"/>
  <c r="AP64" i="14" s="1"/>
  <c r="AQ64" i="14" s="1"/>
  <c r="L53" i="18"/>
  <c r="D13" i="13"/>
  <c r="AL19" i="15"/>
  <c r="H10" i="15"/>
  <c r="I10" i="15" s="1"/>
  <c r="AI43" i="14"/>
  <c r="H7" i="14"/>
  <c r="I7" i="14" s="1"/>
  <c r="AN66" i="14"/>
  <c r="AO66" i="14" s="1"/>
  <c r="AP66" i="14" s="1"/>
  <c r="AQ66" i="14" s="1"/>
  <c r="H11" i="14"/>
  <c r="I11" i="14" s="1"/>
  <c r="AF43" i="14"/>
  <c r="M25" i="12"/>
  <c r="R25" i="12"/>
  <c r="H25" i="12"/>
  <c r="E25" i="12"/>
  <c r="AG10" i="12"/>
  <c r="R10" i="12"/>
  <c r="AB10" i="12"/>
  <c r="H10" i="12"/>
  <c r="M10" i="12"/>
  <c r="E10" i="12"/>
  <c r="W10" i="12"/>
  <c r="E20" i="12"/>
  <c r="H20" i="12"/>
  <c r="R20" i="12"/>
  <c r="M20" i="12"/>
  <c r="R15" i="12"/>
  <c r="M15" i="12"/>
  <c r="H15" i="12"/>
  <c r="N17" i="12" l="1"/>
  <c r="O17" i="12" s="1"/>
  <c r="P17" i="12" s="1"/>
  <c r="Q17" i="12" s="1"/>
  <c r="K50" i="20"/>
  <c r="L50" i="20" s="1"/>
  <c r="K49" i="20"/>
  <c r="L49" i="20" s="1"/>
  <c r="K48" i="20"/>
  <c r="L48" i="20" s="1"/>
  <c r="K47" i="20"/>
  <c r="L47" i="20" s="1"/>
  <c r="D8" i="22"/>
  <c r="J12" i="22"/>
  <c r="J13" i="22" s="1"/>
  <c r="I8" i="22"/>
  <c r="I12" i="22" s="1"/>
  <c r="I13" i="22" s="1"/>
  <c r="C49" i="22"/>
  <c r="J49" i="22" s="1"/>
  <c r="E11" i="13" s="1"/>
  <c r="H39" i="7" s="1"/>
  <c r="C46" i="22"/>
  <c r="J46" i="22" s="1"/>
  <c r="E8" i="13" s="1"/>
  <c r="H36" i="7" s="1"/>
  <c r="C47" i="22"/>
  <c r="J47" i="22" s="1"/>
  <c r="E9" i="13" s="1"/>
  <c r="H37" i="7" s="1"/>
  <c r="C50" i="22"/>
  <c r="J50" i="22" s="1"/>
  <c r="E12" i="13" s="1"/>
  <c r="H40" i="7" s="1"/>
  <c r="C51" i="22"/>
  <c r="J51" i="22" s="1"/>
  <c r="E13" i="13" s="1"/>
  <c r="H41" i="7" s="1"/>
  <c r="C48" i="22"/>
  <c r="J48" i="22" s="1"/>
  <c r="E10" i="13" s="1"/>
  <c r="H38" i="7" s="1"/>
  <c r="C45" i="22"/>
  <c r="J45" i="22" s="1"/>
  <c r="E7" i="13" s="1"/>
  <c r="H35" i="7" s="1"/>
  <c r="D8" i="21"/>
  <c r="E8" i="21" s="1"/>
  <c r="J12" i="21"/>
  <c r="J13" i="21" s="1"/>
  <c r="C49" i="21"/>
  <c r="J49" i="21" s="1"/>
  <c r="F11" i="13" s="1"/>
  <c r="E39" i="7" s="1"/>
  <c r="C50" i="21"/>
  <c r="J50" i="21" s="1"/>
  <c r="F12" i="13" s="1"/>
  <c r="E40" i="7" s="1"/>
  <c r="C46" i="21"/>
  <c r="J46" i="21" s="1"/>
  <c r="F8" i="13" s="1"/>
  <c r="E36" i="7" s="1"/>
  <c r="C51" i="21"/>
  <c r="J51" i="21" s="1"/>
  <c r="F13" i="13" s="1"/>
  <c r="E41" i="7" s="1"/>
  <c r="C48" i="21"/>
  <c r="J48" i="21" s="1"/>
  <c r="F10" i="13" s="1"/>
  <c r="E38" i="7" s="1"/>
  <c r="C47" i="21"/>
  <c r="J47" i="21" s="1"/>
  <c r="F9" i="13" s="1"/>
  <c r="E37" i="7" s="1"/>
  <c r="C45" i="21"/>
  <c r="J45" i="21" s="1"/>
  <c r="F7" i="13" s="1"/>
  <c r="E35" i="7" s="1"/>
  <c r="K45" i="20"/>
  <c r="L45" i="20" s="1"/>
  <c r="AO19" i="15"/>
  <c r="AP19" i="15" s="1"/>
  <c r="AQ19" i="15" s="1"/>
  <c r="AR19" i="15" s="1"/>
  <c r="K46" i="20"/>
  <c r="L46" i="20" s="1"/>
  <c r="AN43" i="14"/>
  <c r="AO43" i="14" s="1"/>
  <c r="AP43" i="14" s="1"/>
  <c r="AQ43" i="14" s="1"/>
  <c r="N12" i="12"/>
  <c r="O12" i="12" s="1"/>
  <c r="P12" i="12" s="1"/>
  <c r="Q12" i="12" s="1"/>
  <c r="L25" i="12"/>
  <c r="L15" i="12"/>
  <c r="L20" i="12"/>
  <c r="L10" i="12"/>
  <c r="W17" i="12"/>
  <c r="S17" i="12"/>
  <c r="T17" i="12" s="1"/>
  <c r="V10" i="12"/>
  <c r="V15" i="12"/>
  <c r="V25" i="12"/>
  <c r="V20" i="12"/>
  <c r="W12" i="12"/>
  <c r="S12" i="12"/>
  <c r="T12" i="12" s="1"/>
  <c r="U12" i="12" s="1"/>
  <c r="V12" i="12" s="1"/>
  <c r="W27" i="12"/>
  <c r="S27" i="12"/>
  <c r="T27" i="12" s="1"/>
  <c r="AE20" i="12"/>
  <c r="AE15" i="12"/>
  <c r="AE25" i="12"/>
  <c r="AE10" i="12"/>
  <c r="AA36" i="12"/>
  <c r="AJ36" i="12" s="1"/>
  <c r="Z10" i="12"/>
  <c r="Z15" i="12"/>
  <c r="Z20" i="12"/>
  <c r="Z25" i="12"/>
  <c r="W22" i="12"/>
  <c r="S22" i="12"/>
  <c r="T22" i="12" s="1"/>
  <c r="U22" i="12" s="1"/>
  <c r="Q20" i="12"/>
  <c r="Q10" i="12"/>
  <c r="Q25" i="12"/>
  <c r="Q15" i="12"/>
  <c r="K39" i="7"/>
  <c r="I36" i="7"/>
  <c r="N41" i="7"/>
  <c r="Q41" i="7"/>
  <c r="F35" i="7"/>
  <c r="I4" i="15"/>
  <c r="I12" i="15" s="1"/>
  <c r="I13" i="15" s="1"/>
  <c r="H12" i="15"/>
  <c r="L46" i="15"/>
  <c r="C7" i="13"/>
  <c r="L52" i="15"/>
  <c r="C13" i="13"/>
  <c r="B7" i="7"/>
  <c r="K47" i="21" l="1"/>
  <c r="L47" i="21" s="1"/>
  <c r="K51" i="22"/>
  <c r="L51" i="22" s="1"/>
  <c r="K48" i="22"/>
  <c r="L48" i="22" s="1"/>
  <c r="K45" i="21"/>
  <c r="L45" i="21" s="1"/>
  <c r="K46" i="21"/>
  <c r="L46" i="21" s="1"/>
  <c r="K46" i="22"/>
  <c r="L46" i="22" s="1"/>
  <c r="K51" i="21"/>
  <c r="L51" i="21" s="1"/>
  <c r="K47" i="22"/>
  <c r="L47" i="22" s="1"/>
  <c r="K50" i="22"/>
  <c r="L50" i="22" s="1"/>
  <c r="K49" i="22"/>
  <c r="L49" i="22" s="1"/>
  <c r="K45" i="22"/>
  <c r="L45" i="22" s="1"/>
  <c r="K49" i="21"/>
  <c r="L49" i="21" s="1"/>
  <c r="K50" i="21"/>
  <c r="L50" i="21" s="1"/>
  <c r="K48" i="21"/>
  <c r="L48" i="21" s="1"/>
  <c r="D8" i="23"/>
  <c r="E8" i="23" s="1"/>
  <c r="J12" i="23"/>
  <c r="J13" i="23" s="1"/>
  <c r="B7" i="24"/>
  <c r="C50" i="23"/>
  <c r="J50" i="23" s="1"/>
  <c r="J12" i="13" s="1"/>
  <c r="G40" i="7" s="1"/>
  <c r="C51" i="23"/>
  <c r="J51" i="23" s="1"/>
  <c r="J13" i="13" s="1"/>
  <c r="G41" i="7" s="1"/>
  <c r="C47" i="23"/>
  <c r="J47" i="23" s="1"/>
  <c r="J9" i="13" s="1"/>
  <c r="G37" i="7" s="1"/>
  <c r="C46" i="23"/>
  <c r="J46" i="23" s="1"/>
  <c r="J8" i="13" s="1"/>
  <c r="G36" i="7" s="1"/>
  <c r="C45" i="23"/>
  <c r="J45" i="23" s="1"/>
  <c r="J7" i="13" s="1"/>
  <c r="G35" i="7" s="1"/>
  <c r="C48" i="23"/>
  <c r="J48" i="23" s="1"/>
  <c r="J10" i="13" s="1"/>
  <c r="G38" i="7" s="1"/>
  <c r="C49" i="23"/>
  <c r="J49" i="23" s="1"/>
  <c r="J11" i="13" s="1"/>
  <c r="G39" i="7" s="1"/>
  <c r="AB12" i="12"/>
  <c r="X12" i="12"/>
  <c r="Y12" i="12" s="1"/>
  <c r="Z12" i="12" s="1"/>
  <c r="AA12" i="12" s="1"/>
  <c r="AA25" i="12"/>
  <c r="AA10" i="12"/>
  <c r="AA15" i="12"/>
  <c r="AA20" i="12"/>
  <c r="V22" i="12"/>
  <c r="U27" i="12"/>
  <c r="V27" i="12" s="1"/>
  <c r="U17" i="12"/>
  <c r="AB22" i="12"/>
  <c r="X22" i="12"/>
  <c r="Y22" i="12" s="1"/>
  <c r="Z22" i="12" s="1"/>
  <c r="AA22" i="12" s="1"/>
  <c r="AB27" i="12"/>
  <c r="X27" i="12"/>
  <c r="Y27" i="12" s="1"/>
  <c r="Z27" i="12" s="1"/>
  <c r="AA27" i="12" s="1"/>
  <c r="AB17" i="12"/>
  <c r="X17" i="12"/>
  <c r="Y17" i="12" s="1"/>
  <c r="Z17" i="12" s="1"/>
  <c r="AA17" i="12" s="1"/>
  <c r="I41" i="7"/>
  <c r="I35" i="7"/>
  <c r="F7" i="7"/>
  <c r="G7" i="7"/>
  <c r="H7" i="7"/>
  <c r="I7" i="7"/>
  <c r="J7" i="7"/>
  <c r="K7" i="7"/>
  <c r="L7" i="7"/>
  <c r="M7" i="7"/>
  <c r="E7" i="7"/>
  <c r="K46" i="23" l="1"/>
  <c r="L46" i="23" s="1"/>
  <c r="K45" i="23"/>
  <c r="L45" i="23" s="1"/>
  <c r="K51" i="23"/>
  <c r="L51" i="23" s="1"/>
  <c r="K47" i="23"/>
  <c r="L47" i="23" s="1"/>
  <c r="K48" i="23"/>
  <c r="L48" i="23" s="1"/>
  <c r="C48" i="25"/>
  <c r="J48" i="25" s="1"/>
  <c r="K10" i="13" s="1"/>
  <c r="P38" i="7" s="1"/>
  <c r="C47" i="25"/>
  <c r="J47" i="25" s="1"/>
  <c r="K9" i="13" s="1"/>
  <c r="P37" i="7" s="1"/>
  <c r="C50" i="25"/>
  <c r="J50" i="25" s="1"/>
  <c r="K12" i="13" s="1"/>
  <c r="P40" i="7" s="1"/>
  <c r="J12" i="25"/>
  <c r="J13" i="25" s="1"/>
  <c r="C45" i="25"/>
  <c r="J45" i="25" s="1"/>
  <c r="K7" i="13" s="1"/>
  <c r="P35" i="7" s="1"/>
  <c r="C51" i="25"/>
  <c r="J51" i="25" s="1"/>
  <c r="K13" i="13" s="1"/>
  <c r="C49" i="25"/>
  <c r="J49" i="25" s="1"/>
  <c r="K11" i="13" s="1"/>
  <c r="P39" i="7" s="1"/>
  <c r="C46" i="25"/>
  <c r="J46" i="25" s="1"/>
  <c r="K8" i="13" s="1"/>
  <c r="P36" i="7" s="1"/>
  <c r="K50" i="23"/>
  <c r="L50" i="23" s="1"/>
  <c r="J12" i="24"/>
  <c r="J13" i="24" s="1"/>
  <c r="C50" i="24"/>
  <c r="J50" i="24" s="1"/>
  <c r="L12" i="13" s="1"/>
  <c r="M40" i="7" s="1"/>
  <c r="D8" i="24"/>
  <c r="E8" i="24" s="1"/>
  <c r="C45" i="24"/>
  <c r="J45" i="24" s="1"/>
  <c r="L7" i="13" s="1"/>
  <c r="M35" i="7" s="1"/>
  <c r="C46" i="24"/>
  <c r="J46" i="24" s="1"/>
  <c r="L8" i="13" s="1"/>
  <c r="M36" i="7" s="1"/>
  <c r="C49" i="24"/>
  <c r="J49" i="24" s="1"/>
  <c r="L11" i="13" s="1"/>
  <c r="M39" i="7" s="1"/>
  <c r="C48" i="24"/>
  <c r="J48" i="24" s="1"/>
  <c r="L10" i="13" s="1"/>
  <c r="M38" i="7" s="1"/>
  <c r="C51" i="24"/>
  <c r="J51" i="24" s="1"/>
  <c r="L13" i="13" s="1"/>
  <c r="M41" i="7" s="1"/>
  <c r="C47" i="24"/>
  <c r="J47" i="24" s="1"/>
  <c r="L9" i="13" s="1"/>
  <c r="M37" i="7" s="1"/>
  <c r="K49" i="23"/>
  <c r="L49" i="23" s="1"/>
  <c r="V17" i="12"/>
  <c r="AG22" i="12"/>
  <c r="AC22" i="12"/>
  <c r="AD22" i="12" s="1"/>
  <c r="AE22" i="12" s="1"/>
  <c r="AF22" i="12" s="1"/>
  <c r="AG17" i="12"/>
  <c r="AC17" i="12"/>
  <c r="AD17" i="12" s="1"/>
  <c r="AE17" i="12" s="1"/>
  <c r="AF17" i="12" s="1"/>
  <c r="AG12" i="12"/>
  <c r="AC12" i="12"/>
  <c r="AD12" i="12" s="1"/>
  <c r="AE12" i="12" s="1"/>
  <c r="AF12" i="12" s="1"/>
  <c r="AG27" i="12"/>
  <c r="AC27" i="12"/>
  <c r="AD27" i="12" s="1"/>
  <c r="AE27" i="12" s="1"/>
  <c r="AF27" i="12" s="1"/>
  <c r="U30" i="10"/>
  <c r="V29" i="10" s="1"/>
  <c r="V19" i="10"/>
  <c r="U53" i="9"/>
  <c r="V40" i="9" s="1"/>
  <c r="V50" i="9"/>
  <c r="V22" i="9"/>
  <c r="F21" i="7"/>
  <c r="G21" i="7"/>
  <c r="H21" i="7"/>
  <c r="I21" i="7"/>
  <c r="J21" i="7"/>
  <c r="K21" i="7"/>
  <c r="L21" i="7"/>
  <c r="M21" i="7"/>
  <c r="M19" i="7"/>
  <c r="F19" i="7"/>
  <c r="G19" i="7"/>
  <c r="H19" i="7"/>
  <c r="I19" i="7"/>
  <c r="J19" i="7"/>
  <c r="K19" i="7"/>
  <c r="L19" i="7"/>
  <c r="E19" i="7"/>
  <c r="E21" i="7"/>
  <c r="V60" i="8"/>
  <c r="V59" i="8"/>
  <c r="V58" i="8"/>
  <c r="V57" i="8"/>
  <c r="V56" i="8"/>
  <c r="V55" i="8"/>
  <c r="V54" i="8"/>
  <c r="V53" i="8"/>
  <c r="V52" i="8"/>
  <c r="V51" i="8"/>
  <c r="V50" i="8"/>
  <c r="V49" i="8"/>
  <c r="V45" i="8"/>
  <c r="V44" i="8"/>
  <c r="V41" i="8"/>
  <c r="V35" i="8"/>
  <c r="V32" i="8"/>
  <c r="V28" i="8"/>
  <c r="V27" i="8"/>
  <c r="V26" i="8"/>
  <c r="V25" i="8"/>
  <c r="V24" i="8"/>
  <c r="V23" i="8"/>
  <c r="V22" i="8"/>
  <c r="V21" i="8"/>
  <c r="V20" i="8"/>
  <c r="V15" i="8"/>
  <c r="H11" i="7"/>
  <c r="I11" i="7"/>
  <c r="J11" i="7"/>
  <c r="K11" i="7"/>
  <c r="L11" i="7"/>
  <c r="M11" i="7"/>
  <c r="H13" i="7"/>
  <c r="I13" i="7"/>
  <c r="J13" i="7"/>
  <c r="K13" i="7"/>
  <c r="L13" i="7"/>
  <c r="M13" i="7"/>
  <c r="F15" i="7"/>
  <c r="G15" i="7"/>
  <c r="H15" i="7"/>
  <c r="I15" i="7"/>
  <c r="J15" i="7"/>
  <c r="K15" i="7"/>
  <c r="L15" i="7"/>
  <c r="M15" i="7"/>
  <c r="F17" i="7"/>
  <c r="G17" i="7"/>
  <c r="H17" i="7"/>
  <c r="I17" i="7"/>
  <c r="J17" i="7"/>
  <c r="K17" i="7"/>
  <c r="L17" i="7"/>
  <c r="M17" i="7"/>
  <c r="E17" i="7"/>
  <c r="E15" i="7"/>
  <c r="K47" i="25" l="1"/>
  <c r="L47" i="25" s="1"/>
  <c r="V22" i="10"/>
  <c r="K46" i="25"/>
  <c r="L46" i="25" s="1"/>
  <c r="K45" i="25"/>
  <c r="L45" i="25" s="1"/>
  <c r="K45" i="24"/>
  <c r="L45" i="24" s="1"/>
  <c r="K51" i="24"/>
  <c r="L51" i="24" s="1"/>
  <c r="K50" i="24"/>
  <c r="L50" i="24" s="1"/>
  <c r="K49" i="24"/>
  <c r="L49" i="24" s="1"/>
  <c r="P41" i="7"/>
  <c r="K46" i="24"/>
  <c r="L46" i="24" s="1"/>
  <c r="K51" i="25"/>
  <c r="L51" i="25" s="1"/>
  <c r="K47" i="24"/>
  <c r="L47" i="24" s="1"/>
  <c r="K50" i="25"/>
  <c r="L50" i="25" s="1"/>
  <c r="K49" i="25"/>
  <c r="L49" i="25" s="1"/>
  <c r="K48" i="24"/>
  <c r="L48" i="24" s="1"/>
  <c r="C50" i="26"/>
  <c r="J50" i="26" s="1"/>
  <c r="J12" i="26"/>
  <c r="J13" i="26" s="1"/>
  <c r="C46" i="26"/>
  <c r="J46" i="26" s="1"/>
  <c r="M8" i="13" s="1"/>
  <c r="O36" i="7" s="1"/>
  <c r="C49" i="26"/>
  <c r="J49" i="26" s="1"/>
  <c r="M11" i="13" s="1"/>
  <c r="O39" i="7" s="1"/>
  <c r="C48" i="26"/>
  <c r="J48" i="26" s="1"/>
  <c r="M10" i="13" s="1"/>
  <c r="O38" i="7" s="1"/>
  <c r="C47" i="26"/>
  <c r="J47" i="26" s="1"/>
  <c r="M9" i="13" s="1"/>
  <c r="D8" i="26"/>
  <c r="E8" i="26" s="1"/>
  <c r="C45" i="26"/>
  <c r="J45" i="26" s="1"/>
  <c r="M7" i="13" s="1"/>
  <c r="O35" i="7" s="1"/>
  <c r="C51" i="26"/>
  <c r="J51" i="26" s="1"/>
  <c r="K48" i="25"/>
  <c r="L48" i="25" s="1"/>
  <c r="V23" i="10"/>
  <c r="V24" i="10" s="1"/>
  <c r="V63" i="8"/>
  <c r="W56" i="8" s="1"/>
  <c r="V34" i="9"/>
  <c r="W41" i="8"/>
  <c r="V27" i="9"/>
  <c r="V28" i="9"/>
  <c r="W24" i="8"/>
  <c r="V43" i="9"/>
  <c r="N29" i="7" s="1"/>
  <c r="V46" i="9"/>
  <c r="V31" i="9"/>
  <c r="V17" i="9"/>
  <c r="V47" i="9"/>
  <c r="V18" i="9"/>
  <c r="V48" i="9"/>
  <c r="V17" i="10"/>
  <c r="V23" i="9"/>
  <c r="V26" i="9"/>
  <c r="M30" i="7"/>
  <c r="V21" i="9"/>
  <c r="V49" i="9"/>
  <c r="V18" i="10"/>
  <c r="I30" i="7" s="1"/>
  <c r="L29" i="7"/>
  <c r="K29" i="7"/>
  <c r="R29" i="7"/>
  <c r="J29" i="7"/>
  <c r="H29" i="7"/>
  <c r="I29" i="7"/>
  <c r="P29" i="7"/>
  <c r="O29" i="7"/>
  <c r="G29" i="7"/>
  <c r="Q29" i="7"/>
  <c r="L30" i="7"/>
  <c r="E30" i="7"/>
  <c r="K30" i="7"/>
  <c r="J30" i="7"/>
  <c r="Q30" i="7"/>
  <c r="P30" i="7"/>
  <c r="H30" i="7"/>
  <c r="O30" i="7"/>
  <c r="G30" i="7"/>
  <c r="N30" i="7"/>
  <c r="F30" i="7"/>
  <c r="V15" i="10"/>
  <c r="V26" i="10"/>
  <c r="V16" i="10"/>
  <c r="R30" i="7" s="1"/>
  <c r="V15" i="9"/>
  <c r="V24" i="9"/>
  <c r="V37" i="9"/>
  <c r="V51" i="9"/>
  <c r="V16" i="9"/>
  <c r="V25" i="9"/>
  <c r="L27" i="7"/>
  <c r="K28" i="7"/>
  <c r="W23" i="8"/>
  <c r="W17" i="8"/>
  <c r="W16" i="8"/>
  <c r="W58" i="8"/>
  <c r="H27" i="7"/>
  <c r="Q27" i="7"/>
  <c r="K27" i="7"/>
  <c r="O27" i="7"/>
  <c r="P27" i="7"/>
  <c r="L28" i="7"/>
  <c r="Q28" i="7"/>
  <c r="P28" i="7"/>
  <c r="O28" i="7"/>
  <c r="M28" i="7"/>
  <c r="W60" i="8" l="1"/>
  <c r="W46" i="8"/>
  <c r="W29" i="8"/>
  <c r="W27" i="8"/>
  <c r="W35" i="8"/>
  <c r="I28" i="7" s="1"/>
  <c r="W32" i="8"/>
  <c r="H28" i="7" s="1"/>
  <c r="W61" i="8"/>
  <c r="W52" i="8"/>
  <c r="W53" i="8"/>
  <c r="W28" i="8"/>
  <c r="W49" i="8"/>
  <c r="W51" i="8"/>
  <c r="W20" i="8"/>
  <c r="W30" i="8" s="1"/>
  <c r="N28" i="7" s="1"/>
  <c r="W44" i="8"/>
  <c r="W47" i="8" s="1"/>
  <c r="R28" i="7" s="1"/>
  <c r="W22" i="8"/>
  <c r="W38" i="8"/>
  <c r="J28" i="7" s="1"/>
  <c r="W25" i="8"/>
  <c r="W15" i="8"/>
  <c r="W50" i="8"/>
  <c r="W57" i="8"/>
  <c r="W59" i="8"/>
  <c r="W21" i="8"/>
  <c r="W26" i="8"/>
  <c r="W54" i="8"/>
  <c r="W55" i="8"/>
  <c r="K49" i="26"/>
  <c r="L49" i="26" s="1"/>
  <c r="M13" i="13"/>
  <c r="K45" i="26"/>
  <c r="L45" i="26" s="1"/>
  <c r="C51" i="27"/>
  <c r="J51" i="27" s="1"/>
  <c r="O12" i="13" s="1"/>
  <c r="R40" i="7" s="1"/>
  <c r="J12" i="27"/>
  <c r="J13" i="27" s="1"/>
  <c r="C46" i="27"/>
  <c r="J46" i="27" s="1"/>
  <c r="O7" i="13" s="1"/>
  <c r="R35" i="7" s="1"/>
  <c r="C49" i="27"/>
  <c r="J49" i="27" s="1"/>
  <c r="O10" i="13" s="1"/>
  <c r="R38" i="7" s="1"/>
  <c r="C48" i="27"/>
  <c r="J48" i="27" s="1"/>
  <c r="O9" i="13" s="1"/>
  <c r="R37" i="7" s="1"/>
  <c r="C47" i="27"/>
  <c r="J47" i="27" s="1"/>
  <c r="O8" i="13" s="1"/>
  <c r="R36" i="7" s="1"/>
  <c r="C52" i="27"/>
  <c r="J52" i="27" s="1"/>
  <c r="O13" i="13" s="1"/>
  <c r="R41" i="7" s="1"/>
  <c r="C50" i="27"/>
  <c r="J50" i="27" s="1"/>
  <c r="O11" i="13" s="1"/>
  <c r="R39" i="7" s="1"/>
  <c r="I8" i="27"/>
  <c r="I12" i="27" s="1"/>
  <c r="I13" i="27" s="1"/>
  <c r="M12" i="13"/>
  <c r="K50" i="26"/>
  <c r="L50" i="26" s="1"/>
  <c r="O37" i="7"/>
  <c r="K47" i="26"/>
  <c r="L47" i="26" s="1"/>
  <c r="K51" i="26"/>
  <c r="L51" i="26" s="1"/>
  <c r="K46" i="26"/>
  <c r="L46" i="26" s="1"/>
  <c r="K48" i="26"/>
  <c r="L48" i="26" s="1"/>
  <c r="V52" i="9"/>
  <c r="F29" i="7" s="1"/>
  <c r="V29" i="9"/>
  <c r="M29" i="7" s="1"/>
  <c r="W62" i="8"/>
  <c r="F28" i="7" s="1"/>
  <c r="W45" i="8"/>
  <c r="W18" i="8"/>
  <c r="B30" i="7"/>
  <c r="V19" i="9"/>
  <c r="K47" i="27" l="1"/>
  <c r="L47" i="27" s="1"/>
  <c r="K51" i="27"/>
  <c r="L51" i="27" s="1"/>
  <c r="K48" i="27"/>
  <c r="L48" i="27" s="1"/>
  <c r="K49" i="27"/>
  <c r="L49" i="27" s="1"/>
  <c r="O40" i="7"/>
  <c r="K50" i="27"/>
  <c r="L50" i="27" s="1"/>
  <c r="C47" i="28"/>
  <c r="J47" i="28" s="1"/>
  <c r="N9" i="13" s="1"/>
  <c r="C49" i="28"/>
  <c r="J49" i="28" s="1"/>
  <c r="N11" i="13" s="1"/>
  <c r="C51" i="28"/>
  <c r="J51" i="28" s="1"/>
  <c r="N13" i="13" s="1"/>
  <c r="J41" i="7" s="1"/>
  <c r="C46" i="28"/>
  <c r="J46" i="28" s="1"/>
  <c r="N8" i="13" s="1"/>
  <c r="J12" i="28"/>
  <c r="J13" i="28" s="1"/>
  <c r="C48" i="28"/>
  <c r="J48" i="28" s="1"/>
  <c r="N10" i="13" s="1"/>
  <c r="C50" i="28"/>
  <c r="J50" i="28" s="1"/>
  <c r="N12" i="13" s="1"/>
  <c r="J40" i="7" s="1"/>
  <c r="C45" i="28"/>
  <c r="J45" i="28" s="1"/>
  <c r="N7" i="13" s="1"/>
  <c r="K52" i="27"/>
  <c r="L52" i="27" s="1"/>
  <c r="O41" i="7"/>
  <c r="K46" i="27"/>
  <c r="L46" i="27" s="1"/>
  <c r="E28" i="7"/>
  <c r="B28" i="7" s="1"/>
  <c r="E29" i="7"/>
  <c r="B29" i="7" s="1"/>
  <c r="K48" i="28" l="1"/>
  <c r="L48" i="28" s="1"/>
  <c r="P12" i="13"/>
  <c r="Q12" i="13" s="1"/>
  <c r="R12" i="13" s="1"/>
  <c r="P13" i="13"/>
  <c r="Q13" i="13" s="1"/>
  <c r="R13" i="13" s="1"/>
  <c r="J36" i="7"/>
  <c r="P8" i="13"/>
  <c r="Q8" i="13" s="1"/>
  <c r="R8" i="13" s="1"/>
  <c r="K46" i="28"/>
  <c r="L46" i="28" s="1"/>
  <c r="J39" i="7"/>
  <c r="P11" i="13"/>
  <c r="Q11" i="13" s="1"/>
  <c r="R11" i="13" s="1"/>
  <c r="K49" i="28"/>
  <c r="L49" i="28" s="1"/>
  <c r="J37" i="7"/>
  <c r="P9" i="13"/>
  <c r="Q9" i="13" s="1"/>
  <c r="R9" i="13" s="1"/>
  <c r="K47" i="28"/>
  <c r="L47" i="28" s="1"/>
  <c r="K45" i="28"/>
  <c r="L45" i="28" s="1"/>
  <c r="K51" i="28"/>
  <c r="L51" i="28" s="1"/>
  <c r="J35" i="7"/>
  <c r="P7" i="13"/>
  <c r="Q7" i="13" s="1"/>
  <c r="R7" i="13" s="1"/>
  <c r="J38" i="7"/>
  <c r="P10" i="13"/>
  <c r="Q10" i="13" s="1"/>
  <c r="R10" i="13" s="1"/>
  <c r="K50" i="28"/>
  <c r="L50" i="28" s="1"/>
  <c r="C26" i="7"/>
  <c r="C25" i="7"/>
  <c r="F13" i="7"/>
  <c r="G13" i="7"/>
  <c r="E13" i="7"/>
  <c r="F11" i="7"/>
  <c r="G11" i="7"/>
  <c r="E11" i="7"/>
  <c r="P7" i="4"/>
  <c r="R27" i="7"/>
  <c r="J7" i="4"/>
  <c r="F7" i="4"/>
  <c r="E7" i="4"/>
  <c r="I7" i="4"/>
  <c r="G7" i="4"/>
  <c r="C61" i="6"/>
  <c r="C53" i="6"/>
  <c r="M7" i="4" s="1"/>
  <c r="C42" i="6"/>
  <c r="D7" i="4" s="1"/>
  <c r="C25" i="6"/>
  <c r="K7" i="4" s="1"/>
  <c r="C18" i="6"/>
  <c r="C7" i="4" s="1"/>
  <c r="E95" i="5"/>
  <c r="E45" i="5"/>
  <c r="E36" i="5"/>
  <c r="E23" i="5"/>
  <c r="Q9" i="4" s="1"/>
  <c r="V21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V47" i="3"/>
  <c r="V30" i="3"/>
  <c r="V39" i="3"/>
  <c r="V38" i="3"/>
  <c r="V37" i="3"/>
  <c r="V27" i="3"/>
  <c r="G27" i="7" s="1"/>
  <c r="V34" i="3"/>
  <c r="V19" i="3"/>
  <c r="V14" i="3"/>
  <c r="V33" i="3"/>
  <c r="V24" i="3"/>
  <c r="J27" i="7" s="1"/>
  <c r="V46" i="3"/>
  <c r="V48" i="3" l="1"/>
  <c r="E100" i="5"/>
  <c r="C110" i="6"/>
  <c r="N27" i="7"/>
  <c r="V15" i="3"/>
  <c r="V40" i="3"/>
  <c r="V35" i="3"/>
  <c r="V16" i="3"/>
  <c r="V13" i="3"/>
  <c r="V17" i="3" s="1"/>
  <c r="V43" i="3"/>
  <c r="I27" i="7" s="1"/>
  <c r="F26" i="7"/>
  <c r="V20" i="3"/>
  <c r="V22" i="3" s="1"/>
  <c r="M27" i="7" s="1"/>
  <c r="V36" i="3"/>
  <c r="L7" i="4"/>
  <c r="N26" i="7" s="1"/>
  <c r="F25" i="7"/>
  <c r="H26" i="7"/>
  <c r="I26" i="7"/>
  <c r="E26" i="7"/>
  <c r="Q26" i="7"/>
  <c r="P26" i="7"/>
  <c r="E25" i="7"/>
  <c r="L26" i="7"/>
  <c r="L25" i="7"/>
  <c r="K26" i="7"/>
  <c r="R26" i="7"/>
  <c r="K25" i="7"/>
  <c r="J26" i="7"/>
  <c r="R25" i="7"/>
  <c r="P25" i="7"/>
  <c r="H25" i="7"/>
  <c r="O25" i="7"/>
  <c r="O26" i="7"/>
  <c r="G26" i="7"/>
  <c r="I25" i="7"/>
  <c r="N25" i="7"/>
  <c r="J25" i="7"/>
  <c r="Q25" i="7"/>
  <c r="G25" i="7"/>
  <c r="M25" i="7"/>
  <c r="M26" i="7"/>
  <c r="Q7" i="4" l="1"/>
  <c r="K31" i="7"/>
  <c r="K48" i="7" s="1"/>
  <c r="V41" i="3"/>
  <c r="F27" i="7" s="1"/>
  <c r="F31" i="7" s="1"/>
  <c r="F51" i="7" s="1"/>
  <c r="R31" i="7"/>
  <c r="I31" i="7"/>
  <c r="I46" i="7" s="1"/>
  <c r="E27" i="7"/>
  <c r="Q8" i="4"/>
  <c r="J31" i="7"/>
  <c r="L31" i="7"/>
  <c r="V91" i="3"/>
  <c r="P31" i="7"/>
  <c r="B25" i="7"/>
  <c r="B26" i="7"/>
  <c r="O31" i="7"/>
  <c r="M31" i="7"/>
  <c r="N31" i="7"/>
  <c r="G31" i="7"/>
  <c r="Q31" i="7"/>
  <c r="H31" i="7"/>
  <c r="B27" i="7" l="1"/>
  <c r="B31" i="7" s="1"/>
  <c r="F48" i="7"/>
  <c r="F45" i="7"/>
  <c r="F50" i="7"/>
  <c r="F46" i="7"/>
  <c r="F49" i="7"/>
  <c r="E31" i="7"/>
  <c r="E51" i="7" s="1"/>
  <c r="F47" i="7"/>
  <c r="R50" i="7"/>
  <c r="R49" i="7"/>
  <c r="R48" i="7"/>
  <c r="R47" i="7"/>
  <c r="R46" i="7"/>
  <c r="R51" i="7"/>
  <c r="I45" i="7"/>
  <c r="I51" i="7"/>
  <c r="I50" i="7"/>
  <c r="I49" i="7"/>
  <c r="I48" i="7"/>
  <c r="I47" i="7"/>
  <c r="K46" i="7"/>
  <c r="K51" i="7"/>
  <c r="K45" i="7"/>
  <c r="K47" i="7"/>
  <c r="K50" i="7"/>
  <c r="K49" i="7"/>
  <c r="Q46" i="7"/>
  <c r="Q48" i="7"/>
  <c r="Q50" i="7"/>
  <c r="Q47" i="7"/>
  <c r="Q49" i="7"/>
  <c r="Q51" i="7"/>
  <c r="L46" i="7"/>
  <c r="L50" i="7"/>
  <c r="L48" i="7"/>
  <c r="L47" i="7"/>
  <c r="L51" i="7"/>
  <c r="L49" i="7"/>
  <c r="O46" i="7"/>
  <c r="O48" i="7"/>
  <c r="O50" i="7"/>
  <c r="O47" i="7"/>
  <c r="O49" i="7"/>
  <c r="O51" i="7"/>
  <c r="M46" i="7"/>
  <c r="M50" i="7"/>
  <c r="M51" i="7"/>
  <c r="M47" i="7"/>
  <c r="M49" i="7"/>
  <c r="M48" i="7"/>
  <c r="G48" i="7"/>
  <c r="G47" i="7"/>
  <c r="G50" i="7"/>
  <c r="G49" i="7"/>
  <c r="G46" i="7"/>
  <c r="G51" i="7"/>
  <c r="H51" i="7"/>
  <c r="H50" i="7"/>
  <c r="H48" i="7"/>
  <c r="H47" i="7"/>
  <c r="H49" i="7"/>
  <c r="H46" i="7"/>
  <c r="P49" i="7"/>
  <c r="P46" i="7"/>
  <c r="P48" i="7"/>
  <c r="P50" i="7"/>
  <c r="P47" i="7"/>
  <c r="P51" i="7"/>
  <c r="J48" i="7"/>
  <c r="J50" i="7"/>
  <c r="J49" i="7"/>
  <c r="J46" i="7"/>
  <c r="J47" i="7"/>
  <c r="J51" i="7"/>
  <c r="N49" i="7"/>
  <c r="N48" i="7"/>
  <c r="N46" i="7"/>
  <c r="N47" i="7"/>
  <c r="N50" i="7"/>
  <c r="N51" i="7"/>
  <c r="H45" i="7"/>
  <c r="R45" i="7"/>
  <c r="L45" i="7"/>
  <c r="J45" i="7"/>
  <c r="Q45" i="7"/>
  <c r="G45" i="7"/>
  <c r="N45" i="7"/>
  <c r="O45" i="7"/>
  <c r="M45" i="7"/>
  <c r="P45" i="7"/>
  <c r="E47" i="7" l="1"/>
  <c r="S47" i="7" s="1"/>
  <c r="T47" i="7" s="1"/>
  <c r="U47" i="7" s="1"/>
  <c r="M11" i="12" s="1"/>
  <c r="N11" i="12" s="1"/>
  <c r="E49" i="7"/>
  <c r="S49" i="7" s="1"/>
  <c r="T49" i="7" s="1"/>
  <c r="U49" i="7" s="1"/>
  <c r="W11" i="12" s="1"/>
  <c r="E46" i="7"/>
  <c r="S46" i="7" s="1"/>
  <c r="T46" i="7" s="1"/>
  <c r="U46" i="7" s="1"/>
  <c r="H11" i="12" s="1"/>
  <c r="I11" i="12" s="1"/>
  <c r="E48" i="7"/>
  <c r="S48" i="7" s="1"/>
  <c r="T48" i="7" s="1"/>
  <c r="U48" i="7" s="1"/>
  <c r="R11" i="12" s="1"/>
  <c r="S11" i="12" s="1"/>
  <c r="E50" i="7"/>
  <c r="S50" i="7" s="1"/>
  <c r="T50" i="7" s="1"/>
  <c r="U50" i="7" s="1"/>
  <c r="AB11" i="12" s="1"/>
  <c r="E45" i="7"/>
  <c r="S45" i="7" s="1"/>
  <c r="T45" i="7" s="1"/>
  <c r="U45" i="7" s="1"/>
  <c r="E11" i="12" s="1"/>
  <c r="F11" i="12" s="1"/>
  <c r="S51" i="7"/>
  <c r="T51" i="7" s="1"/>
  <c r="U51" i="7" s="1"/>
  <c r="AG11" i="12" s="1"/>
  <c r="AG13" i="12" s="1"/>
  <c r="J11" i="12" l="1"/>
  <c r="I13" i="12"/>
  <c r="T11" i="12"/>
  <c r="S13" i="12"/>
  <c r="AC11" i="12"/>
  <c r="AB13" i="12"/>
  <c r="X11" i="12"/>
  <c r="W13" i="12"/>
  <c r="O11" i="12"/>
  <c r="N13" i="12"/>
  <c r="G11" i="12"/>
  <c r="F16" i="12"/>
  <c r="F18" i="12" s="1"/>
  <c r="F13" i="12"/>
  <c r="E16" i="12"/>
  <c r="E18" i="12" s="1"/>
  <c r="E21" i="12"/>
  <c r="E26" i="12"/>
  <c r="E13" i="12"/>
  <c r="AB16" i="12"/>
  <c r="AB26" i="12"/>
  <c r="AB21" i="12"/>
  <c r="W21" i="12"/>
  <c r="W26" i="12"/>
  <c r="W16" i="12"/>
  <c r="R26" i="12"/>
  <c r="R16" i="12"/>
  <c r="R21" i="12"/>
  <c r="R13" i="12"/>
  <c r="H21" i="12"/>
  <c r="H26" i="12"/>
  <c r="H16" i="12"/>
  <c r="H13" i="12"/>
  <c r="AG16" i="12"/>
  <c r="AG18" i="12" s="1"/>
  <c r="AG21" i="12"/>
  <c r="AG23" i="12" s="1"/>
  <c r="AG26" i="12"/>
  <c r="AG28" i="12" s="1"/>
  <c r="M16" i="12"/>
  <c r="M21" i="12"/>
  <c r="M26" i="12"/>
  <c r="M13" i="12"/>
  <c r="AG30" i="12" l="1"/>
  <c r="AG31" i="12" s="1"/>
  <c r="H18" i="12"/>
  <c r="I16" i="12"/>
  <c r="H28" i="12"/>
  <c r="I26" i="12"/>
  <c r="H23" i="12"/>
  <c r="I21" i="12"/>
  <c r="K11" i="12"/>
  <c r="J13" i="12"/>
  <c r="R18" i="12"/>
  <c r="S16" i="12"/>
  <c r="X16" i="12"/>
  <c r="W18" i="12"/>
  <c r="Y11" i="12"/>
  <c r="X13" i="12"/>
  <c r="X21" i="12"/>
  <c r="W23" i="12"/>
  <c r="AD11" i="12"/>
  <c r="AC13" i="12"/>
  <c r="X26" i="12"/>
  <c r="W28" i="12"/>
  <c r="AC21" i="12"/>
  <c r="AB23" i="12"/>
  <c r="AC26" i="12"/>
  <c r="AB28" i="12"/>
  <c r="R28" i="12"/>
  <c r="S26" i="12"/>
  <c r="R23" i="12"/>
  <c r="S21" i="12"/>
  <c r="AC16" i="12"/>
  <c r="AB18" i="12"/>
  <c r="U11" i="12"/>
  <c r="T13" i="12"/>
  <c r="M28" i="12"/>
  <c r="N26" i="12"/>
  <c r="M23" i="12"/>
  <c r="N21" i="12"/>
  <c r="M18" i="12"/>
  <c r="N16" i="12"/>
  <c r="P11" i="12"/>
  <c r="O13" i="12"/>
  <c r="E23" i="12"/>
  <c r="F21" i="12"/>
  <c r="E28" i="12"/>
  <c r="F26" i="12"/>
  <c r="G16" i="12"/>
  <c r="G18" i="12" s="1"/>
  <c r="G13" i="12"/>
  <c r="R30" i="12" l="1"/>
  <c r="R31" i="12" s="1"/>
  <c r="E30" i="12"/>
  <c r="E31" i="12" s="1"/>
  <c r="W30" i="12"/>
  <c r="W31" i="12" s="1"/>
  <c r="H30" i="12"/>
  <c r="H31" i="12" s="1"/>
  <c r="L11" i="12"/>
  <c r="L13" i="12" s="1"/>
  <c r="K13" i="12"/>
  <c r="I23" i="12"/>
  <c r="J21" i="12"/>
  <c r="I18" i="12"/>
  <c r="J16" i="12"/>
  <c r="I28" i="12"/>
  <c r="J26" i="12"/>
  <c r="Y21" i="12"/>
  <c r="X23" i="12"/>
  <c r="M30" i="12"/>
  <c r="M31" i="12" s="1"/>
  <c r="AD16" i="12"/>
  <c r="AC18" i="12"/>
  <c r="AB30" i="12"/>
  <c r="AB31" i="12" s="1"/>
  <c r="AD26" i="12"/>
  <c r="AC28" i="12"/>
  <c r="T26" i="12"/>
  <c r="S28" i="12"/>
  <c r="Y26" i="12"/>
  <c r="X28" i="12"/>
  <c r="Y16" i="12"/>
  <c r="X18" i="12"/>
  <c r="Z11" i="12"/>
  <c r="Y13" i="12"/>
  <c r="T16" i="12"/>
  <c r="S18" i="12"/>
  <c r="T21" i="12"/>
  <c r="S23" i="12"/>
  <c r="AD21" i="12"/>
  <c r="AC23" i="12"/>
  <c r="V11" i="12"/>
  <c r="V13" i="12" s="1"/>
  <c r="U13" i="12"/>
  <c r="AE11" i="12"/>
  <c r="AD13" i="12"/>
  <c r="O21" i="12"/>
  <c r="N23" i="12"/>
  <c r="O16" i="12"/>
  <c r="N18" i="12"/>
  <c r="O26" i="12"/>
  <c r="N28" i="12"/>
  <c r="Q11" i="12"/>
  <c r="Q13" i="12" s="1"/>
  <c r="P13" i="12"/>
  <c r="G26" i="12"/>
  <c r="G28" i="12" s="1"/>
  <c r="F28" i="12"/>
  <c r="G21" i="12"/>
  <c r="G23" i="12" s="1"/>
  <c r="F23" i="12"/>
  <c r="I30" i="12" l="1"/>
  <c r="I31" i="12" s="1"/>
  <c r="F30" i="12"/>
  <c r="F31" i="12" s="1"/>
  <c r="K26" i="12"/>
  <c r="J28" i="12"/>
  <c r="X30" i="12"/>
  <c r="X31" i="12" s="1"/>
  <c r="K16" i="12"/>
  <c r="J18" i="12"/>
  <c r="K21" i="12"/>
  <c r="J23" i="12"/>
  <c r="AC30" i="12"/>
  <c r="AC31" i="12" s="1"/>
  <c r="S30" i="12"/>
  <c r="S31" i="12" s="1"/>
  <c r="Z26" i="12"/>
  <c r="Y28" i="12"/>
  <c r="AE16" i="12"/>
  <c r="AD18" i="12"/>
  <c r="U21" i="12"/>
  <c r="T23" i="12"/>
  <c r="AA11" i="12"/>
  <c r="AA13" i="12" s="1"/>
  <c r="Z13" i="12"/>
  <c r="U26" i="12"/>
  <c r="T28" i="12"/>
  <c r="AE26" i="12"/>
  <c r="AD28" i="12"/>
  <c r="AF11" i="12"/>
  <c r="AF13" i="12" s="1"/>
  <c r="AE13" i="12"/>
  <c r="Z16" i="12"/>
  <c r="Y18" i="12"/>
  <c r="U16" i="12"/>
  <c r="T18" i="12"/>
  <c r="AE21" i="12"/>
  <c r="AD23" i="12"/>
  <c r="Z21" i="12"/>
  <c r="Y23" i="12"/>
  <c r="P26" i="12"/>
  <c r="O28" i="12"/>
  <c r="N30" i="12"/>
  <c r="N31" i="12" s="1"/>
  <c r="P16" i="12"/>
  <c r="O18" i="12"/>
  <c r="P21" i="12"/>
  <c r="O23" i="12"/>
  <c r="G30" i="12"/>
  <c r="G31" i="12" s="1"/>
  <c r="Y30" i="12" l="1"/>
  <c r="Y31" i="12" s="1"/>
  <c r="L21" i="12"/>
  <c r="L23" i="12" s="1"/>
  <c r="K23" i="12"/>
  <c r="AD30" i="12"/>
  <c r="AD31" i="12" s="1"/>
  <c r="J30" i="12"/>
  <c r="J31" i="12" s="1"/>
  <c r="L16" i="12"/>
  <c r="L18" i="12" s="1"/>
  <c r="K18" i="12"/>
  <c r="L26" i="12"/>
  <c r="L28" i="12" s="1"/>
  <c r="K28" i="12"/>
  <c r="AF21" i="12"/>
  <c r="AF23" i="12" s="1"/>
  <c r="AE23" i="12"/>
  <c r="V21" i="12"/>
  <c r="V23" i="12" s="1"/>
  <c r="U23" i="12"/>
  <c r="AF26" i="12"/>
  <c r="AF28" i="12" s="1"/>
  <c r="AE28" i="12"/>
  <c r="V26" i="12"/>
  <c r="V28" i="12" s="1"/>
  <c r="U28" i="12"/>
  <c r="AA26" i="12"/>
  <c r="AA28" i="12" s="1"/>
  <c r="Z28" i="12"/>
  <c r="T30" i="12"/>
  <c r="T31" i="12" s="1"/>
  <c r="AF16" i="12"/>
  <c r="AF18" i="12" s="1"/>
  <c r="AE18" i="12"/>
  <c r="V16" i="12"/>
  <c r="V18" i="12" s="1"/>
  <c r="U18" i="12"/>
  <c r="AA21" i="12"/>
  <c r="AA23" i="12" s="1"/>
  <c r="Z23" i="12"/>
  <c r="AA16" i="12"/>
  <c r="AA18" i="12" s="1"/>
  <c r="Z18" i="12"/>
  <c r="O30" i="12"/>
  <c r="O31" i="12" s="1"/>
  <c r="Q21" i="12"/>
  <c r="Q23" i="12" s="1"/>
  <c r="P23" i="12"/>
  <c r="Q16" i="12"/>
  <c r="Q18" i="12" s="1"/>
  <c r="P18" i="12"/>
  <c r="Q26" i="12"/>
  <c r="Q28" i="12" s="1"/>
  <c r="P28" i="12"/>
  <c r="Z30" i="12" l="1"/>
  <c r="Z31" i="12" s="1"/>
  <c r="L30" i="12"/>
  <c r="L31" i="12" s="1"/>
  <c r="K30" i="12"/>
  <c r="K31" i="12" s="1"/>
  <c r="AF30" i="12"/>
  <c r="AF31" i="12" s="1"/>
  <c r="AE30" i="12"/>
  <c r="AE31" i="12" s="1"/>
  <c r="AA30" i="12"/>
  <c r="AA31" i="12" s="1"/>
  <c r="U30" i="12"/>
  <c r="U31" i="12" s="1"/>
  <c r="V30" i="12"/>
  <c r="V31" i="12" s="1"/>
  <c r="P30" i="12"/>
  <c r="P31" i="12" s="1"/>
  <c r="Q30" i="12"/>
  <c r="Q31" i="12" s="1"/>
  <c r="AJ30" i="12" l="1"/>
</calcChain>
</file>

<file path=xl/sharedStrings.xml><?xml version="1.0" encoding="utf-8"?>
<sst xmlns="http://schemas.openxmlformats.org/spreadsheetml/2006/main" count="9284" uniqueCount="867">
  <si>
    <t>Export quantity from Baltimore, MD</t>
  </si>
  <si>
    <t>https://www.eia.gov/coal/data/browser/#/topic/41?agg=2,1,0&amp;rank=ok&amp;cntry=vvvvvvvvvvvvvvvvvvvvvvvvvvvto&amp;cust=400000000&amp;map=COAL.EXPORT_QTY.TOT-TOT-TOT.A&amp;freq=A&amp;start=2001&amp;end=2018&amp;ctype=map&amp;ltype=pin&amp;rtype=s&amp;pin=&amp;rse=0&amp;maptype=0</t>
  </si>
  <si>
    <t>Mon Jun 20 2022 15:25:57 GMT-0500 (Central Daylight Time)</t>
  </si>
  <si>
    <t>Source: U.S. Energy Information Administration</t>
  </si>
  <si>
    <t>description</t>
  </si>
  <si>
    <t>units</t>
  </si>
  <si>
    <t>source key</t>
  </si>
  <si>
    <t>short tons</t>
  </si>
  <si>
    <t>Total world</t>
  </si>
  <si>
    <t>COAL.EXPORT_QTY..A</t>
  </si>
  <si>
    <t>Total world : all coal</t>
  </si>
  <si>
    <t>COAL.EXPORT_QTY.TOT-TOT-BA_MD.A</t>
  </si>
  <si>
    <t>Total world : steam coal</t>
  </si>
  <si>
    <t>COAL.EXPORT_QTY.STM-TOT-BA_MD.A</t>
  </si>
  <si>
    <t>Total world : metallurgical</t>
  </si>
  <si>
    <t>Total world : coke</t>
  </si>
  <si>
    <t>--</t>
  </si>
  <si>
    <t>Algeria : steam coal</t>
  </si>
  <si>
    <t>COAL.EXPORT_QTY.STM-DZ-BA_MD.A</t>
  </si>
  <si>
    <t>Argentina : all coal</t>
  </si>
  <si>
    <t>Argentina : steam coal</t>
  </si>
  <si>
    <t>COAL.EXPORT_QTY.STM-AR-BA_MD.A</t>
  </si>
  <si>
    <t>Austria : steam coal</t>
  </si>
  <si>
    <t>COAL.EXPORT_QTY.STM-AT-BA_MD.A</t>
  </si>
  <si>
    <t>Belgium : steam coal</t>
  </si>
  <si>
    <t>COAL.EXPORT_QTY.STM-BE-BA_MD.A</t>
  </si>
  <si>
    <t>Brazil</t>
  </si>
  <si>
    <t>Brazil : steam coal</t>
  </si>
  <si>
    <t>COAL.EXPORT_QTY.STM-BR-BA_MD.A</t>
  </si>
  <si>
    <t>Bulgaria : steam coal</t>
  </si>
  <si>
    <t>COAL.EXPORT_QTY.STM-BG-BA_MD.A</t>
  </si>
  <si>
    <t>Canada</t>
  </si>
  <si>
    <t>Canada : steam coal</t>
  </si>
  <si>
    <t>COAL.EXPORT_QTY.STM-CA-BA_MD.A</t>
  </si>
  <si>
    <t>Chile : steam coal</t>
  </si>
  <si>
    <t>COAL.EXPORT_QTY.STM-CL-BA_MD.A</t>
  </si>
  <si>
    <t>China</t>
  </si>
  <si>
    <t>China : steam coal</t>
  </si>
  <si>
    <t>COAL.EXPORT_QTY.STM-CN-BA_MD.A</t>
  </si>
  <si>
    <t>Congo (Brazzaville) : steam coal</t>
  </si>
  <si>
    <t>COAL.EXPORT_QTY.STM-CG-BA_MD.A</t>
  </si>
  <si>
    <t>Costa Rica : steam coal</t>
  </si>
  <si>
    <t>COAL.EXPORT_QTY.STM-CR-BA_MD.A</t>
  </si>
  <si>
    <t>Croatia : steam coal</t>
  </si>
  <si>
    <t>COAL.EXPORT_QTY.STM-HR-BA_MD.A</t>
  </si>
  <si>
    <t>Denmark (Except Greenland) : steam coal</t>
  </si>
  <si>
    <t>COAL.EXPORT_QTY.STM-DK-BA_MD.A</t>
  </si>
  <si>
    <t>Dominica : steam coal</t>
  </si>
  <si>
    <t>COAL.EXPORT_QTY.STM-DM-BA_MD.A</t>
  </si>
  <si>
    <t>Dominican Republic : steam coal</t>
  </si>
  <si>
    <t>COAL.EXPORT_QTY.STM-DO-BA_MD.A</t>
  </si>
  <si>
    <t>Ecuador : steam coal</t>
  </si>
  <si>
    <t>COAL.EXPORT_QTY.STM-EC-BA_MD.A</t>
  </si>
  <si>
    <t>Egypt : steam coal</t>
  </si>
  <si>
    <t>COAL.EXPORT_QTY.STM-EG-BA_MD.A</t>
  </si>
  <si>
    <t>Finland : steam coal</t>
  </si>
  <si>
    <t>COAL.EXPORT_QTY.STM-FI-BA_MD.A</t>
  </si>
  <si>
    <t>France : steam coal</t>
  </si>
  <si>
    <t>COAL.EXPORT_QTY.STM-FR-BA_MD.A</t>
  </si>
  <si>
    <t>Germany, Federal Republic Of : steam coal</t>
  </si>
  <si>
    <t>COAL.EXPORT_QTY.STM-DE-BA_MD.A</t>
  </si>
  <si>
    <t>Greece : steam coal</t>
  </si>
  <si>
    <t>COAL.EXPORT_QTY.STM-GR-BA_MD.A</t>
  </si>
  <si>
    <t>Hong Kong : steam coal</t>
  </si>
  <si>
    <t>COAL.EXPORT_QTY.STM-HK-BA_MD.A</t>
  </si>
  <si>
    <t>India</t>
  </si>
  <si>
    <t>India : steam coal</t>
  </si>
  <si>
    <t>COAL.EXPORT_QTY.STM-IN-BA_MD.A</t>
  </si>
  <si>
    <t>Ireland : steam coal</t>
  </si>
  <si>
    <t>COAL.EXPORT_QTY.STM-IE-BA_MD.A</t>
  </si>
  <si>
    <t>Israel</t>
  </si>
  <si>
    <t>Israel : steam coal</t>
  </si>
  <si>
    <t>COAL.EXPORT_QTY.STM-IL-BA_MD.A</t>
  </si>
  <si>
    <t>Italy : steam coal</t>
  </si>
  <si>
    <t>COAL.EXPORT_QTY.STM-IT-BA_MD.A</t>
  </si>
  <si>
    <t>Jamaica : steam coal</t>
  </si>
  <si>
    <t>COAL.EXPORT_QTY.STM-JM-BA_MD.A</t>
  </si>
  <si>
    <t>Japan</t>
  </si>
  <si>
    <t>Japan : steam coal</t>
  </si>
  <si>
    <t>COAL.EXPORT_QTY.STM-JP-BA_MD.A</t>
  </si>
  <si>
    <t>Jordan : steam coal</t>
  </si>
  <si>
    <t>COAL.EXPORT_QTY.STM-JO-BA_MD.A</t>
  </si>
  <si>
    <t>Kenya : steam coal</t>
  </si>
  <si>
    <t>COAL.EXPORT_QTY.STM-KE-BA_MD.A</t>
  </si>
  <si>
    <t>Latvia : steam coal</t>
  </si>
  <si>
    <t>COAL.EXPORT_QTY.STM-LV-BA_MD.A</t>
  </si>
  <si>
    <t>Mexico</t>
  </si>
  <si>
    <t>Mexico : steam coal</t>
  </si>
  <si>
    <t>COAL.EXPORT_QTY.STM-MX-BA_MD.A</t>
  </si>
  <si>
    <t>Morocco : steam coal</t>
  </si>
  <si>
    <t>COAL.EXPORT_QTY.STM-MA-BA_MD.A</t>
  </si>
  <si>
    <t>Netherlands : steam coal</t>
  </si>
  <si>
    <t>COAL.EXPORT_QTY.STM-NL-BA_MD.A</t>
  </si>
  <si>
    <t>New Zealand : steam coal</t>
  </si>
  <si>
    <t>COAL.EXPORT_QTY.STM-NZ-BA_MD.A</t>
  </si>
  <si>
    <t>Norway : steam coal</t>
  </si>
  <si>
    <t>COAL.EXPORT_QTY.STM-NO-BA_MD.A</t>
  </si>
  <si>
    <t>Oman : steam coal</t>
  </si>
  <si>
    <t>COAL.EXPORT_QTY.STM-OM-BA_MD.A</t>
  </si>
  <si>
    <t>Pakistan : steam coal</t>
  </si>
  <si>
    <t>COAL.EXPORT_QTY.STM-PK-BA_MD.A</t>
  </si>
  <si>
    <t>Panama : steam coal</t>
  </si>
  <si>
    <t>COAL.EXPORT_QTY.STM-PA-BA_MD.A</t>
  </si>
  <si>
    <t>Peru : steam coal</t>
  </si>
  <si>
    <t>COAL.EXPORT_QTY.STM-PE-BA_MD.A</t>
  </si>
  <si>
    <t>Poland : steam coal</t>
  </si>
  <si>
    <t>COAL.EXPORT_QTY.STM-PL-BA_MD.A</t>
  </si>
  <si>
    <t>Poland : metallurgical</t>
  </si>
  <si>
    <t>Portugal : steam coal</t>
  </si>
  <si>
    <t>COAL.EXPORT_QTY.STM-PT-BA_MD.A</t>
  </si>
  <si>
    <t>Romania : steam coal</t>
  </si>
  <si>
    <t>COAL.EXPORT_QTY.STM-RO-BA_MD.A</t>
  </si>
  <si>
    <t>Saudi Arabia : steam coal</t>
  </si>
  <si>
    <t>COAL.EXPORT_QTY.STM-SA-BA_MD.A</t>
  </si>
  <si>
    <t>Singapore : steam coal</t>
  </si>
  <si>
    <t>COAL.EXPORT_QTY.STM-SG-BA_MD.A</t>
  </si>
  <si>
    <t>Slovenia : steam coal</t>
  </si>
  <si>
    <t>COAL.EXPORT_QTY.STM-SI-BA_MD.A</t>
  </si>
  <si>
    <t>South Africa : steam coal</t>
  </si>
  <si>
    <t>COAL.EXPORT_QTY.STM-ZA-BA_MD.A</t>
  </si>
  <si>
    <t>South Korea (Republic Of Korea) : steam coal</t>
  </si>
  <si>
    <t>COAL.EXPORT_QTY.STM-KR-BA_MD.A</t>
  </si>
  <si>
    <t>Spain : steam coal</t>
  </si>
  <si>
    <t>COAL.EXPORT_QTY.STM-ES-BA_MD.A</t>
  </si>
  <si>
    <t>Sweden</t>
  </si>
  <si>
    <t>Sweden : steam coal</t>
  </si>
  <si>
    <t>COAL.EXPORT_QTY.STM-SE-BA_MD.A</t>
  </si>
  <si>
    <t>Switzerland : steam coal</t>
  </si>
  <si>
    <t>COAL.EXPORT_QTY.STM-CH-BA_MD.A</t>
  </si>
  <si>
    <t>Thailand : steam coal</t>
  </si>
  <si>
    <t>COAL.EXPORT_QTY.STM-TH-BA_MD.A</t>
  </si>
  <si>
    <t>Trinidad And Tobago : steam coal</t>
  </si>
  <si>
    <t>COAL.EXPORT_QTY.STM-TT-BA_MD.A</t>
  </si>
  <si>
    <t>Turkey : steam coal</t>
  </si>
  <si>
    <t>COAL.EXPORT_QTY.STM-TR-BA_MD.A</t>
  </si>
  <si>
    <t>Ukraine : steam coal</t>
  </si>
  <si>
    <t>COAL.EXPORT_QTY.STM-UA-BA_MD.A</t>
  </si>
  <si>
    <t>United Arab Emirates : steam coal</t>
  </si>
  <si>
    <t>COAL.EXPORT_QTY.STM-AE-BA_MD.A</t>
  </si>
  <si>
    <t>United Kingdom : steam coal</t>
  </si>
  <si>
    <t>COAL.EXPORT_QTY.STM-GB-BA_MD.A</t>
  </si>
  <si>
    <t>Uruguay : steam coal</t>
  </si>
  <si>
    <t>COAL.EXPORT_QTY.STM-UY-BA_MD.A</t>
  </si>
  <si>
    <t>Venezuela : steam coal</t>
  </si>
  <si>
    <t>COAL.EXPORT_QTY.STM-VE-BA_MD.A</t>
  </si>
  <si>
    <t>Vietnam : steam coal</t>
  </si>
  <si>
    <t>COAL.EXPORT_QTY.STM-VN-BA_MD.A</t>
  </si>
  <si>
    <t>2018 Percent</t>
  </si>
  <si>
    <t>Africa</t>
  </si>
  <si>
    <t xml:space="preserve">EU-OECD </t>
  </si>
  <si>
    <t>AU-NZ</t>
  </si>
  <si>
    <t>Americas non-OECD</t>
  </si>
  <si>
    <t>Afria</t>
  </si>
  <si>
    <t xml:space="preserve">non-OECD Asia </t>
  </si>
  <si>
    <t>OECD</t>
  </si>
  <si>
    <t>Export quantity from New Orleans, LA</t>
  </si>
  <si>
    <t>https://www.eia.gov/coal/data/browser/#/topic/41?agg=2,1,0&amp;rank=ok&amp;cntry=vvvvvvvvvvvvvvvvvvvvvvvvvvvto&amp;cust=000020000&amp;map=COAL.EXPORT_QTY.TOT-TOT-TOT.A&amp;freq=A&amp;start=2001&amp;end=2018&amp;ctype=map&amp;ltype=pin&amp;rtype=s&amp;maptype=0&amp;rse=0&amp;pin=</t>
  </si>
  <si>
    <t>Mon Jun 20 2022 15:24:59 GMT-0500 (Central Daylight Time)</t>
  </si>
  <si>
    <t>COAL.EXPORT_QTY.TOT-TOT-NO_LA.A</t>
  </si>
  <si>
    <t>COAL.EXPORT_QTY.STM-TOT-NO_LA.A</t>
  </si>
  <si>
    <t>COAL.EXPORT_QTY.MET-TOT-NO_LA.A</t>
  </si>
  <si>
    <t>COAL.EXPORT_QTY.COK-TOT-NO_LA.A</t>
  </si>
  <si>
    <t>COAL.EXPORT_QTY.STM-MA-NO_LA.A</t>
  </si>
  <si>
    <t>COAL.EXPORT_QTY.STM-EG-NO_LA.A</t>
  </si>
  <si>
    <t>Togo : steam coal</t>
  </si>
  <si>
    <t>COAL.EXPORT_QTY.STM-TG-NO_LA.A</t>
  </si>
  <si>
    <t>Suriname : steam coal</t>
  </si>
  <si>
    <t>COAL.EXPORT_QTY.STM-SR-NO_LA.A</t>
  </si>
  <si>
    <t>COAL.EXPORT_QTY.STM-EC-NO_LA.A</t>
  </si>
  <si>
    <t>COAL.EXPORT_QTY.STM-UY-NO_LA.A</t>
  </si>
  <si>
    <t>COAL.EXPORT_QTY.STM-DM-NO_LA.A</t>
  </si>
  <si>
    <t>COAL.EXPORT_QTY.STM-JM-NO_LA.A</t>
  </si>
  <si>
    <t>Guatemala : steam coal</t>
  </si>
  <si>
    <t>COAL.EXPORT_QTY.STM-GT-NO_LA.A</t>
  </si>
  <si>
    <t>COAL.EXPORT_QTY.STM-PA-NO_LA.A</t>
  </si>
  <si>
    <t>COAL.EXPORT_QTY.STM-CL-NO_LA.A</t>
  </si>
  <si>
    <t>COAL.EXPORT_QTY.STM-PK-NO_LA.A</t>
  </si>
  <si>
    <t>COAL.EXPORT_QTY.STM-DO-NO_LA.A</t>
  </si>
  <si>
    <t>Honduras : steam coal</t>
  </si>
  <si>
    <t>COAL.EXPORT_QTY.STM-HN-NO_LA.A</t>
  </si>
  <si>
    <t>COAL.EXPORT_QTY.STM-GR-NO_LA.A</t>
  </si>
  <si>
    <t>EU-OECD</t>
  </si>
  <si>
    <t>COAL.EXPORT_QTY.STM-FR-NO_LA.A</t>
  </si>
  <si>
    <t>COAL.EXPORT_QTY.STM-PL-NO_LA.A</t>
  </si>
  <si>
    <t>COAL.EXPORT_QTY.STM-ES-NO_LA.A</t>
  </si>
  <si>
    <t>COAL.EXPORT_QTY.STM-DE-NO_LA.A</t>
  </si>
  <si>
    <t>COAL.EXPORT_QTY.STM-GB-NO_LA.A</t>
  </si>
  <si>
    <t>COAL.EXPORT_QTY.STM-NL-NO_LA.A</t>
  </si>
  <si>
    <t>COAL.EXPORT_QTY.STM-IN-NO_LA.A</t>
  </si>
  <si>
    <t>COAL.EXPORT_QTY.STM-MX-NO_LA.A</t>
  </si>
  <si>
    <t>COAL.EXPORT_QTY.STM-HR-NO_LA.A</t>
  </si>
  <si>
    <t xml:space="preserve">non-OECD Europe and Eurasia </t>
  </si>
  <si>
    <t>COAL.EXPORT_QTY.STM-UA-NO_LA.A</t>
  </si>
  <si>
    <t>COAL.EXPORT_QTY.STM-BE-NO_LA.A</t>
  </si>
  <si>
    <t>Bosnia And Herzegovina : steam coal</t>
  </si>
  <si>
    <t>COAL.EXPORT_QTY.STM-BA-NO_LA.A</t>
  </si>
  <si>
    <t>COAL.EXPORT_QTY.STM-BR-NO_LA.A</t>
  </si>
  <si>
    <t>COAL.EXPORT_QTY.STM-CA-NO_LA.A</t>
  </si>
  <si>
    <t>COAL.EXPORT_QTY.STM-CN-NO_LA.A</t>
  </si>
  <si>
    <t>COAL.EXPORT_QTY.STM-CR-NO_LA.A</t>
  </si>
  <si>
    <t>COAL.EXPORT_QTY.STM-DK-NO_LA.A</t>
  </si>
  <si>
    <t>El Salvador : steam coal</t>
  </si>
  <si>
    <t>COAL.EXPORT_QTY.STM-SV-NO_LA.A</t>
  </si>
  <si>
    <t>COAL.EXPORT_QTY.STM-FI-NO_LA.A</t>
  </si>
  <si>
    <t>Gibraltar : steam coal</t>
  </si>
  <si>
    <t>COAL.EXPORT_QTY.STM-GI-NO_LA.A</t>
  </si>
  <si>
    <t>Iraq : steam coal</t>
  </si>
  <si>
    <t>COAL.EXPORT_QTY.STM-IQ-NO_LA.A</t>
  </si>
  <si>
    <t>COAL.EXPORT_QTY.STM-IE-NO_LA.A</t>
  </si>
  <si>
    <t>COAL.EXPORT_QTY.STM-IL-NO_LA.A</t>
  </si>
  <si>
    <t>COAL.EXPORT_QTY.STM-IT-NO_LA.A</t>
  </si>
  <si>
    <t>COAL.EXPORT_QTY.STM-JP-NO_LA.A</t>
  </si>
  <si>
    <t>Kuwait : steam coal</t>
  </si>
  <si>
    <t>COAL.EXPORT_QTY.STM-KW-NO_LA.A</t>
  </si>
  <si>
    <t>COAL.EXPORT_QTY.STM-LV-NO_LA.A</t>
  </si>
  <si>
    <t>Lebanon : steam coal</t>
  </si>
  <si>
    <t>COAL.EXPORT_QTY.STM-LB-NO_LA.A</t>
  </si>
  <si>
    <t>Liberia : steam coal</t>
  </si>
  <si>
    <t>COAL.EXPORT_QTY.STM-LR-NO_LA.A</t>
  </si>
  <si>
    <t>Mozambique : steam coal</t>
  </si>
  <si>
    <t>COAL.EXPORT_QTY.STM-MZ-NO_LA.A</t>
  </si>
  <si>
    <t>Nigeria : steam coal</t>
  </si>
  <si>
    <t>COAL.EXPORT_QTY.STM-NG-NO_LA.A</t>
  </si>
  <si>
    <t>COAL.EXPORT_QTY.STM-NO-NO_LA.A</t>
  </si>
  <si>
    <t>Paraguay : steam coal</t>
  </si>
  <si>
    <t>COAL.EXPORT_QTY.STM-PY-NO_LA.A</t>
  </si>
  <si>
    <t>COAL.EXPORT_QTY.STM-PE-NO_LA.A</t>
  </si>
  <si>
    <t>COAL.EXPORT_QTY.STM-PT-NO_LA.A</t>
  </si>
  <si>
    <t>COAL.EXPORT_QTY.STM-RO-NO_LA.A</t>
  </si>
  <si>
    <t>Russia : steam coal</t>
  </si>
  <si>
    <t>COAL.EXPORT_QTY.STM-RU-NO_LA.A</t>
  </si>
  <si>
    <t>COAL.EXPORT_QTY.STM-SA-NO_LA.A</t>
  </si>
  <si>
    <t>COAL.EXPORT_QTY.STM-SG-NO_LA.A</t>
  </si>
  <si>
    <t>COAL.EXPORT_QTY.STM-SI-NO_LA.A</t>
  </si>
  <si>
    <t>COAL.EXPORT_QTY.STM-KR-NO_LA.A</t>
  </si>
  <si>
    <t>COAL.EXPORT_QTY.STM-SE-NO_LA.A</t>
  </si>
  <si>
    <t>COAL.EXPORT_QTY.STM-CH-NO_LA.A</t>
  </si>
  <si>
    <t>COAL.EXPORT_QTY.STM-TT-NO_LA.A</t>
  </si>
  <si>
    <t>COAL.EXPORT_QTY.STM-TR-NO_LA.A</t>
  </si>
  <si>
    <t>COAL.EXPORT_QTY.STM-AE-NO_LA.A</t>
  </si>
  <si>
    <t>COAL.EXPORT_QTY.STM-VE-NO_LA.A</t>
  </si>
  <si>
    <t>Export quantity from Norfolk, VA</t>
  </si>
  <si>
    <t>https://www.eia.gov/coal/data/browser/#/topic/41?agg=2,1,0&amp;rank=ok&amp;cntry=vvvvvvvvvvvvvvvvvvvvvvvvvvvto&amp;cust=000008000&amp;map=COAL.EXPORT_QTY.TOT-TOT-TOT.A&amp;freq=A&amp;start=2001&amp;end=2018&amp;ctype=map&amp;ltype=pin&amp;rtype=s&amp;pin=&amp;rse=0&amp;maptype=0</t>
  </si>
  <si>
    <t>Mon Jun 20 2022 15:23:51 GMT-0500 (Central Daylight Time)</t>
  </si>
  <si>
    <t>2021 Percentages</t>
  </si>
  <si>
    <t>Guadeloupe : steam coal</t>
  </si>
  <si>
    <t>Americas Non-OECD</t>
  </si>
  <si>
    <t>Hungary : steam coal</t>
  </si>
  <si>
    <t>Middle East non-OECD</t>
  </si>
  <si>
    <t>Taiwan : steam coal</t>
  </si>
  <si>
    <t>Malaysia : steam coal</t>
  </si>
  <si>
    <t>Indonesia : steam coal</t>
  </si>
  <si>
    <t>Serbia : steam coal</t>
  </si>
  <si>
    <t>non-OECD Europe</t>
  </si>
  <si>
    <t>South Korea</t>
  </si>
  <si>
    <t>Andorra : steam coal</t>
  </si>
  <si>
    <t>Australia : steam coal</t>
  </si>
  <si>
    <t>Faroe Islands : steam coal</t>
  </si>
  <si>
    <t>Iceland : steam coal</t>
  </si>
  <si>
    <t>Madagascar : steam coal</t>
  </si>
  <si>
    <t>Philippines : steam coal</t>
  </si>
  <si>
    <t>Tanzania (United Republic Of Tanzania) : steam coal</t>
  </si>
  <si>
    <t>Norfolk</t>
  </si>
  <si>
    <t>Baltimore</t>
  </si>
  <si>
    <t>New Orleans</t>
  </si>
  <si>
    <t>OECD - EU</t>
  </si>
  <si>
    <t>S Korea</t>
  </si>
  <si>
    <t>AU NZ</t>
  </si>
  <si>
    <t>PORT</t>
  </si>
  <si>
    <t>OECD PERCENTAGE EXPORTS BY PORT</t>
  </si>
  <si>
    <t>Year</t>
  </si>
  <si>
    <t>VANQUISH CARBON ADVISORS</t>
  </si>
  <si>
    <t>Port 1 Shipments</t>
  </si>
  <si>
    <t>Port 2 Shipments</t>
  </si>
  <si>
    <t>Inputs</t>
  </si>
  <si>
    <t>Port</t>
  </si>
  <si>
    <t>Functional Equivalents</t>
  </si>
  <si>
    <t>Energy Emissions Mix</t>
  </si>
  <si>
    <t xml:space="preserve"> Destination Volumes</t>
  </si>
  <si>
    <t>Energy Emissions Volumes</t>
  </si>
  <si>
    <t>Total Emissions</t>
  </si>
  <si>
    <t>Savings</t>
  </si>
  <si>
    <t xml:space="preserve">Non-OECD Europe and Eurasia </t>
  </si>
  <si>
    <t xml:space="preserve">Non-OECD Asia </t>
  </si>
  <si>
    <t>Alabama</t>
  </si>
  <si>
    <t>Port 3 Shipments</t>
  </si>
  <si>
    <t>Port 4 Shipments</t>
  </si>
  <si>
    <t>Houston</t>
  </si>
  <si>
    <t>Seattle</t>
  </si>
  <si>
    <t>Port 5 Shipments</t>
  </si>
  <si>
    <t>Port 6 Shipments</t>
  </si>
  <si>
    <t>Export quantity from Mobile, AL</t>
  </si>
  <si>
    <t>https://www.eia.gov/coal/data/browser/#/topic/41?agg=2,1,0&amp;rank=ok&amp;cntry=vvvvvvvvvvvvvvvvvvvvvvvvvvvto&amp;cust=000040000&amp;map=COAL.EXPORT_QTY.TOT-TOT-TOT.A&amp;freq=A&amp;start=2001&amp;end=2018&amp;ctype=map&amp;ltype=pin&amp;rtype=s&amp;maptype=0&amp;rse=0&amp;pin=</t>
  </si>
  <si>
    <t>Wed Jun 22 2022 11:01:36 GMT-0500 (Central Daylight Time)</t>
  </si>
  <si>
    <t>COAL.EXPORT_QTY.TOT-TOT-MO_AL.A</t>
  </si>
  <si>
    <t>COAL.EXPORT_QTY.STM-TOT-MO_AL.A</t>
  </si>
  <si>
    <t>COAL.EXPORT_QTY.MET-TOT-MO_AL.A</t>
  </si>
  <si>
    <t>COAL.EXPORT_QTY.COK-TOT-MO_AL.A</t>
  </si>
  <si>
    <t xml:space="preserve">Totals </t>
  </si>
  <si>
    <t>2018 Percentage</t>
  </si>
  <si>
    <t>Angola : steam coal</t>
  </si>
  <si>
    <t>COAL.EXPORT_QTY.STM-AO-MO_AL.A</t>
  </si>
  <si>
    <t>COAL.EXPORT_QTY.STM-MA-MO_AL.A</t>
  </si>
  <si>
    <t>COAL.EXPORT_QTY.STM-EG-MO_AL.A</t>
  </si>
  <si>
    <t>COAL.EXPORT_QTY.STM-CL-MO_AL.A</t>
  </si>
  <si>
    <t>COAL.EXPORT_QTY.STM-DO-MO_AL.A</t>
  </si>
  <si>
    <t>COAL.EXPORT_QTY.STM-TT-MO_AL.A</t>
  </si>
  <si>
    <t>COAL.EXPORT_QTY.STM-GT-MO_AL.A</t>
  </si>
  <si>
    <t>COAL.EXPORT_QTY.STM-AR-MO_AL.A</t>
  </si>
  <si>
    <t>COAL.EXPORT_QTY.STM-TG-MO_AL.A</t>
  </si>
  <si>
    <t>COAL.EXPORT_QTY.STM-JM-MO_AL.A</t>
  </si>
  <si>
    <t>COAL.EXPORT_QTY.STM-PA-MO_AL.A</t>
  </si>
  <si>
    <t>Colombia : steam coal</t>
  </si>
  <si>
    <t>COAL.EXPORT_QTY.STM-CO-MO_AL.A</t>
  </si>
  <si>
    <t>COAL.EXPORT_QTY.STM-PE-MO_AL.A</t>
  </si>
  <si>
    <t>COAL.EXPORT_QTY.STM-BR-MO_AL.A</t>
  </si>
  <si>
    <t>COAL.EXPORT_QTY.STM-CN-MO_AL.A</t>
  </si>
  <si>
    <t>COAL.EXPORT_QTY.STM-IN-MO_AL.A</t>
  </si>
  <si>
    <t>COAL.EXPORT_QTY.STM-JP-MO_AL.A</t>
  </si>
  <si>
    <t>COAL.EXPORT_QTY.STM-BG-MO_AL.A</t>
  </si>
  <si>
    <t>COAL.EXPORT_QTY.STM-SI-MO_AL.A</t>
  </si>
  <si>
    <t>COAL.EXPORT_QTY.STM-RO-MO_AL.A</t>
  </si>
  <si>
    <t>COAL.EXPORT_QTY.MET-PL-MO_AL.A</t>
  </si>
  <si>
    <t>COAL.EXPORT_QTY.STM-GB-MO_AL.A</t>
  </si>
  <si>
    <t>COAL.EXPORT_QTY.STM-NL-MO_AL.A</t>
  </si>
  <si>
    <t>COAL.EXPORT_QTY.STM-DE-MO_AL.A</t>
  </si>
  <si>
    <t>COAL.EXPORT_QTY.STM-SE-MO_AL.A</t>
  </si>
  <si>
    <t>COAL.EXPORT_QTY.STM-IT-MO_AL.A</t>
  </si>
  <si>
    <t>COAL.EXPORT_QTY.STM-BE-MO_AL.A</t>
  </si>
  <si>
    <t>COAL.EXPORT_QTY.STM-ES-MO_AL.A</t>
  </si>
  <si>
    <t>COAL.EXPORT_QTY.STM-TR-MO_AL.A</t>
  </si>
  <si>
    <t>COAL.EXPORT_QTY.STM-DK-MO_AL.A</t>
  </si>
  <si>
    <t>COAL.EXPORT_QTY.STM-NO-MO_AL.A</t>
  </si>
  <si>
    <t>COAL.EXPORT_QTY.STM-FI-MO_AL.A</t>
  </si>
  <si>
    <t>COAL.EXPORT_QTY.STM-KR-MO_AL.A</t>
  </si>
  <si>
    <t>Data Year</t>
  </si>
  <si>
    <t>Export Percent</t>
  </si>
  <si>
    <t>Production</t>
  </si>
  <si>
    <t>Export quantity from Houston-Galveston, TX</t>
  </si>
  <si>
    <t>https://www.eia.gov/coal/data/browser/#/topic/41?agg=2,1,0&amp;rank=ok&amp;cntry=vvvvvvvvvvvvvvvvvvvvvvvvvvvto&amp;cust=000800000&amp;map=COAL.EXPORT_QTY.TOT-TOT-TOT.A&amp;freq=A&amp;start=2001&amp;end=2018&amp;ctype=map&amp;ltype=pin&amp;rtype=s&amp;pin=&amp;rse=0&amp;maptype=0</t>
  </si>
  <si>
    <t>Wed Jun 22 2022 11:02:26 GMT-0500 (Central Daylight Time)</t>
  </si>
  <si>
    <t>COAL.EXPORT_QTY.TOT-TOT-HG_TX.A</t>
  </si>
  <si>
    <t>COAL.EXPORT_QTY.STM-TOT-HG_TX.A</t>
  </si>
  <si>
    <t>COAL.EXPORT_QTY.MET-TOT-HG_TX.A</t>
  </si>
  <si>
    <t>COAL.EXPORT_QTY.COK-TOT-HG_TX.A</t>
  </si>
  <si>
    <t>percentage</t>
  </si>
  <si>
    <t>OECD REGION</t>
  </si>
  <si>
    <t>COAL.EXPORT_QTY.STM-EG-HG_TX.A</t>
  </si>
  <si>
    <t>Equatorial Guinea : steam coal</t>
  </si>
  <si>
    <t>COAL.EXPORT_QTY.STM-GQ-HG_TX.A</t>
  </si>
  <si>
    <t>Tunisia : steam coal</t>
  </si>
  <si>
    <t>COAL.EXPORT_QTY.STM-TN-HG_TX.A</t>
  </si>
  <si>
    <t>COAL.EXPORT_QTY.STM-ZA-HG_TX.A</t>
  </si>
  <si>
    <t>COAL.EXPORT_QTY.STM-CL-HG_TX.A</t>
  </si>
  <si>
    <t>COAL.EXPORT_QTY.STM-CO-HG_TX.A</t>
  </si>
  <si>
    <t>COAL.EXPORT_QTY.STM-GT-HG_TX.A</t>
  </si>
  <si>
    <t>COAL.EXPORT_QTY.STM-EC-HG_TX.A</t>
  </si>
  <si>
    <t>COAL.EXPORT_QTY.STM-PE-HG_TX.A</t>
  </si>
  <si>
    <t>COAL.EXPORT_QTY.STM-VE-HG_TX.A</t>
  </si>
  <si>
    <t>COAL.EXPORT_QTY.STM-CR-HG_TX.A</t>
  </si>
  <si>
    <t>COAL.EXPORT_QTY.STM-TT-HG_TX.A</t>
  </si>
  <si>
    <t>COAL.EXPORT_QTY.STM-BR-HG_TX.A</t>
  </si>
  <si>
    <t>COAL.EXPORT_QTY.STM-IN-HG_TX.A</t>
  </si>
  <si>
    <t>COAL.EXPORT_QTY.STM-JP-HG_TX.A</t>
  </si>
  <si>
    <t>COAL.EXPORT_QTY.STM-SA-HG_TX.A</t>
  </si>
  <si>
    <t>COAL.EXPORT_QTY.STM-PK-HG_TX.A</t>
  </si>
  <si>
    <t>COAL.EXPORT_QTY.STM-IT-HG_TX.A</t>
  </si>
  <si>
    <t>COAL.EXPORT_QTY.STM-DK-HG_TX.A</t>
  </si>
  <si>
    <t>COAL.EXPORT_QTY.STM-TR-HG_TX.A</t>
  </si>
  <si>
    <t>COAL.EXPORT_QTY.STM-DE-HG_TX.A</t>
  </si>
  <si>
    <t>COAL.EXPORT_QTY.STM-ES-HG_TX.A</t>
  </si>
  <si>
    <t>Export quantity from Seattle, WA</t>
  </si>
  <si>
    <t>https://www.eia.gov/coal/data/browser/#/topic/41?agg=2,1,0&amp;rank=ok&amp;cntry=vvvvvvvvvvvvvvvvvvvvvvvvvvvto&amp;cust=00000000g&amp;map=COAL.EXPORT_QTY.TOT-TOT-TOT.A&amp;freq=A&amp;start=2001&amp;end=2018&amp;ctype=map&amp;ltype=pin&amp;rtype=s&amp;maptype=0&amp;rse=0&amp;pin=</t>
  </si>
  <si>
    <t>Wed Jun 22 2022 11:02:58 GMT-0500 (Central Daylight Time)</t>
  </si>
  <si>
    <t>COAL.EXPORT_QTY.TOT-TOT-SE_WA.A</t>
  </si>
  <si>
    <t>COAL.EXPORT_QTY.STM-TOT-SE_WA.A</t>
  </si>
  <si>
    <t>COAL.EXPORT_QTY.MET-TOT-SE_WA.A</t>
  </si>
  <si>
    <t>COAL.EXPORT_QTY.COK-TOT-SE_WA.A</t>
  </si>
  <si>
    <t>Percentage</t>
  </si>
  <si>
    <t>COAL.EXPORT_QTY.STM-PA-SE_WA.A</t>
  </si>
  <si>
    <t>COAL.EXPORT_QTY.STM-CA-SE_WA.A</t>
  </si>
  <si>
    <t>COAL.EXPORT_QTY.STM-CN-SE_WA.A</t>
  </si>
  <si>
    <t>COAL.EXPORT_QTY.STM-IN-SE_WA.A</t>
  </si>
  <si>
    <t>COAL.EXPORT_QTY.STM-JP-SE_WA.A</t>
  </si>
  <si>
    <t>COAL.EXPORT_QTY.STM-TH-SE_WA.A</t>
  </si>
  <si>
    <t>COAL.EXPORT_QTY.STM-VN-SE_WA.A</t>
  </si>
  <si>
    <t>COAL.EXPORT_QTY.STM-AU-SE_WA.A</t>
  </si>
  <si>
    <t>NZ-AU</t>
  </si>
  <si>
    <t>COAL.EXPORT_QTY.STM-KR-SE_WA.A</t>
  </si>
  <si>
    <t>S. Korea</t>
  </si>
  <si>
    <t>Percent vs Coal</t>
  </si>
  <si>
    <t>Import Region Percentages</t>
  </si>
  <si>
    <t>Project 1</t>
  </si>
  <si>
    <t>Projects</t>
  </si>
  <si>
    <t>Example Project</t>
  </si>
  <si>
    <t>Project 2</t>
  </si>
  <si>
    <t>Project 3</t>
  </si>
  <si>
    <t>Project 4</t>
  </si>
  <si>
    <t>PROJECT EXAMPLE</t>
  </si>
  <si>
    <t>Coal "Production"</t>
  </si>
  <si>
    <t>Example Year - 2022</t>
  </si>
  <si>
    <t>Interactive Model - Single Project</t>
  </si>
  <si>
    <t>Mine Area</t>
  </si>
  <si>
    <t>Funtional Equivalent Factor</t>
  </si>
  <si>
    <t>Total Credits Issued/ Year</t>
  </si>
  <si>
    <t>Mine Areas</t>
  </si>
  <si>
    <t>OH A</t>
  </si>
  <si>
    <t>Table 1: Production Tons from MM&amp;A Model x 1,000</t>
  </si>
  <si>
    <t>Block</t>
  </si>
  <si>
    <t>Total</t>
  </si>
  <si>
    <t>WV A</t>
  </si>
  <si>
    <t>WV B</t>
  </si>
  <si>
    <t>OH B</t>
  </si>
  <si>
    <t>Table 2: CO2 Tonnes per Ton of Coal x 1,000</t>
  </si>
  <si>
    <t>Tons Coal</t>
  </si>
  <si>
    <t>Tonnes
CO2</t>
  </si>
  <si>
    <t xml:space="preserve">Ratio </t>
  </si>
  <si>
    <t>Net BTU/lb</t>
  </si>
  <si>
    <t>BTU 
(x 1,000)</t>
  </si>
  <si>
    <t>Killowatt 
Hours
(x 1,000)</t>
  </si>
  <si>
    <t>grams CO2/kwh</t>
  </si>
  <si>
    <t>Assumed
Effeciency
(33%)</t>
  </si>
  <si>
    <t>Percent</t>
  </si>
  <si>
    <t>Specific Mine Area CO2 / Tonne Converrsion Factor</t>
  </si>
  <si>
    <t>Yearly Coal "Production" Short tons</t>
  </si>
  <si>
    <t>Carbon Offset Production</t>
  </si>
  <si>
    <t>3.EIA power projections are reasonably obtainable</t>
  </si>
  <si>
    <t>2.Current gCO2e/kWh are accurate or within reason for all power technologies</t>
  </si>
  <si>
    <t>1.Coal is replaced equally by all electricity generating sources. The most likely case in the future is  that coal will be replaced by a greater percentage of renewables</t>
  </si>
  <si>
    <t>ASSUMPTIONS</t>
  </si>
  <si>
    <t>https://www.eia.gov/tools/faqs/faq.php?id=74&amp;t=11</t>
  </si>
  <si>
    <t xml:space="preserve">https://www.eia.gov/outlooks/ieo/tables_side_xls.php </t>
  </si>
  <si>
    <t>In non-OECD regions, we project that 90% of increases in electricity generation over 2020 to 2050 will come from renewable sources.</t>
  </si>
  <si>
    <t>https://www.eia.gov/outlooks/ieo/electricity/sub-topic-01.php</t>
  </si>
  <si>
    <t>https://www.energy.gov/eere/wind/articles/how-wind-energy-can-help-us-breathe-easier#:~:text=Wind%20energy%20produces%20around%2011,2%2FkWh%20for%20natural%20gas.</t>
  </si>
  <si>
    <t>https://www.un.org/en/chronicle/article/promise-solar-energy-low-carbon-energy-strategy-21st-century</t>
  </si>
  <si>
    <t xml:space="preserve">https://www.eia.gov/outlooks/ieo/electricity/sub-topic-01.php </t>
  </si>
  <si>
    <t>https://www.world-nuclear.org/information-library/energy-and-the-environment/carbon-dioxide-emissions-from-electricity.aspx#:~:text=On%20a%20life%2Dcycle%20basis,than%20all%20types%20of%20solar.</t>
  </si>
  <si>
    <t>https://www.hydropower.org/factsheets/greenhouse-gas-emissions</t>
  </si>
  <si>
    <t>SOURCES</t>
  </si>
  <si>
    <t>Avg per Source and Emissions</t>
  </si>
  <si>
    <t>230gCO2e/kWh</t>
  </si>
  <si>
    <t>Bioenergy</t>
  </si>
  <si>
    <t>413gCO2e/kWh</t>
  </si>
  <si>
    <t>Natural Gas</t>
  </si>
  <si>
    <t>1011gCO2e/kWh</t>
  </si>
  <si>
    <t>Coal</t>
  </si>
  <si>
    <t>24gCO2e/kWh</t>
  </si>
  <si>
    <t>Hydro</t>
  </si>
  <si>
    <t>114gCO2e/kWh</t>
  </si>
  <si>
    <t>Wind</t>
  </si>
  <si>
    <t>25gCO2e/kWh</t>
  </si>
  <si>
    <t>Solar</t>
  </si>
  <si>
    <t>12gCO2e/kWh</t>
  </si>
  <si>
    <t>Nuclear</t>
  </si>
  <si>
    <t>%</t>
  </si>
  <si>
    <t>Tonnes/Trillion kWh</t>
  </si>
  <si>
    <t>gCO2/Trillipon kWh</t>
  </si>
  <si>
    <t>CO2 Emissions/kWh</t>
  </si>
  <si>
    <t>Fuel Source</t>
  </si>
  <si>
    <t>CO2 Emissions / kWh</t>
  </si>
  <si>
    <t>GLOBAL</t>
  </si>
  <si>
    <t>,</t>
  </si>
  <si>
    <t>Totals</t>
  </si>
  <si>
    <t>Mid East</t>
  </si>
  <si>
    <t>Non-EOCD Americas</t>
  </si>
  <si>
    <t>Non OECD EU</t>
  </si>
  <si>
    <t>AFRICA</t>
  </si>
  <si>
    <t>CHINA</t>
  </si>
  <si>
    <t>Non-OECD ASIA</t>
  </si>
  <si>
    <t>INDIA</t>
  </si>
  <si>
    <t>OECD EU</t>
  </si>
  <si>
    <t>(g CO2e/kWh)</t>
  </si>
  <si>
    <t>EIA</t>
  </si>
  <si>
    <t>COAL NET CO2 EMISSIONS SAVINGS</t>
  </si>
  <si>
    <t>SUMMARY</t>
  </si>
  <si>
    <t>2050</t>
  </si>
  <si>
    <t>2049</t>
  </si>
  <si>
    <t>2048</t>
  </si>
  <si>
    <t>2047</t>
  </si>
  <si>
    <t>2046</t>
  </si>
  <si>
    <t>2045</t>
  </si>
  <si>
    <t>2044</t>
  </si>
  <si>
    <t>2043</t>
  </si>
  <si>
    <t>2042</t>
  </si>
  <si>
    <t>2041</t>
  </si>
  <si>
    <t>2040</t>
  </si>
  <si>
    <t>2039</t>
  </si>
  <si>
    <t>2038</t>
  </si>
  <si>
    <t>2037</t>
  </si>
  <si>
    <t>2036</t>
  </si>
  <si>
    <t>2035</t>
  </si>
  <si>
    <t>2034</t>
  </si>
  <si>
    <t>2033</t>
  </si>
  <si>
    <t>2032</t>
  </si>
  <si>
    <t>2031</t>
  </si>
  <si>
    <t>2030</t>
  </si>
  <si>
    <t>2029</t>
  </si>
  <si>
    <t>2028</t>
  </si>
  <si>
    <t>2027</t>
  </si>
  <si>
    <t>2026</t>
  </si>
  <si>
    <t>2025</t>
  </si>
  <si>
    <t>2024</t>
  </si>
  <si>
    <t>2023</t>
  </si>
  <si>
    <t>2022</t>
  </si>
  <si>
    <t>2021</t>
  </si>
  <si>
    <t>2020</t>
  </si>
  <si>
    <t>2019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</si>
  <si>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</si>
  <si>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</si>
  <si>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</si>
  <si>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</si>
  <si>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</si>
  <si>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</si>
  <si>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</si>
  <si>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</si>
  <si>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</si>
  <si>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Percent Sequestered</t>
  </si>
  <si>
    <t>Vs Coal</t>
  </si>
  <si>
    <t>Avg Per Source</t>
  </si>
  <si>
    <t>Others</t>
  </si>
  <si>
    <t>Hydroelectric</t>
  </si>
  <si>
    <t>Sequestered Coal CO2 Actual &amp; Percent</t>
  </si>
  <si>
    <t>Average Weighted Emissions</t>
  </si>
  <si>
    <t>Percent of CO2 produced</t>
  </si>
  <si>
    <t>Tonnes of CO2 Produced</t>
  </si>
  <si>
    <t>Global Energy Mix - Trillion Kwh</t>
  </si>
  <si>
    <t>Weighted Avg Emissions</t>
  </si>
  <si>
    <t>Percent of Global Power Emissions 2022</t>
  </si>
  <si>
    <t>CO2 emmisons per generation o f 1 Kwh by power source</t>
  </si>
  <si>
    <t>Functional Equivolents</t>
  </si>
  <si>
    <t>CO2 per Kwh</t>
  </si>
  <si>
    <r>
      <rPr>
        <sz val="9"/>
        <color theme="1"/>
        <rFont val="Calibri"/>
        <family val="2"/>
        <scheme val="minor"/>
      </rPr>
      <t xml:space="preserve">Sources: U.S. Energy Information Administration (EIA), </t>
    </r>
    <r>
      <rPr>
        <sz val="9"/>
        <color theme="1"/>
        <rFont val="Calibri"/>
        <family val="2"/>
        <scheme val="minor"/>
      </rPr>
      <t xml:space="preserve">World Energy Projection System (2021), run r_210719.163829.
</t>
    </r>
    <r>
      <rPr>
        <sz val="9"/>
        <color theme="1"/>
        <rFont val="Calibri"/>
        <family val="2"/>
        <scheme val="minor"/>
      </rPr>
      <t xml:space="preserve">Notes:
* Totals may not equal sum of components due to independent rounding.
* </t>
    </r>
    <r>
      <rPr>
        <i/>
        <sz val="9"/>
        <color theme="1"/>
        <rFont val="Calibri"/>
        <family val="2"/>
        <scheme val="minor"/>
      </rPr>
      <t>Net generation to grid</t>
    </r>
    <r>
      <rPr>
        <sz val="9"/>
        <color theme="1"/>
        <rFont val="Calibri"/>
        <family val="2"/>
        <scheme val="minor"/>
      </rPr>
      <t xml:space="preserve"> represents gross generation less losses from thermal efficiency and parasitic load.</t>
    </r>
  </si>
  <si>
    <t>Net generation to grid</t>
  </si>
  <si>
    <t xml:space="preserve">   Other</t>
  </si>
  <si>
    <t xml:space="preserve">   Solar</t>
  </si>
  <si>
    <t xml:space="preserve">   Geothermal</t>
  </si>
  <si>
    <t xml:space="preserve">   Wind</t>
  </si>
  <si>
    <t xml:space="preserve">   Hydro</t>
  </si>
  <si>
    <t>Renewables</t>
  </si>
  <si>
    <t>Natural gas</t>
  </si>
  <si>
    <t>Liquid fuels</t>
  </si>
  <si>
    <t>Average annual percentage change, 2020–2050</t>
  </si>
  <si>
    <t>Fuel</t>
  </si>
  <si>
    <t>billion kilowatthours</t>
  </si>
  <si>
    <t>Table E14.gen. Electricity generation: India, Reference case</t>
  </si>
  <si>
    <t>Percent Savings</t>
  </si>
  <si>
    <t>CO2 Savings</t>
  </si>
  <si>
    <t>Total CO2</t>
  </si>
  <si>
    <t>3. India Energy Mix - CO2 Emissions (g CO2e/kWh)</t>
  </si>
  <si>
    <t>Release date: October 2021</t>
  </si>
  <si>
    <r>
      <rPr>
        <i/>
        <sz val="9"/>
        <color theme="1"/>
        <rFont val="Calibri"/>
        <family val="2"/>
        <scheme val="minor"/>
      </rPr>
      <t xml:space="preserve">International Energy Outlook </t>
    </r>
    <r>
      <rPr>
        <i/>
        <sz val="9"/>
        <color theme="1"/>
        <rFont val="Calibri"/>
        <family val="2"/>
        <scheme val="minor"/>
      </rPr>
      <t>2021</t>
    </r>
  </si>
  <si>
    <t>2. India Energy Mix - Trillion Kwh  - Percent of Emissions</t>
  </si>
  <si>
    <t xml:space="preserve">Tonnes of CO2 Produced by % chance of Replacemnt </t>
  </si>
  <si>
    <t>1. India Energy Mix - Trillion Kwh</t>
  </si>
  <si>
    <t>Bioenergy/Others</t>
  </si>
  <si>
    <t>Percent of India Power  CO2 Emissions 2020</t>
  </si>
  <si>
    <t>3. OECD EU Energy Mix - Replacement CO2 Emissions (g CO2e/kWh)</t>
  </si>
  <si>
    <t xml:space="preserve">2. OECD EU  Energy Mix - Trillion Kwh </t>
  </si>
  <si>
    <t>Table E6.gen. Electricity generation: OECD Europe, Reference case</t>
  </si>
  <si>
    <t>1. OECD EU Energy Mix - Trillion Kwh</t>
  </si>
  <si>
    <t>Percent of Power  CO2 Emissions 2020</t>
  </si>
  <si>
    <t>OECD EUROPE</t>
  </si>
  <si>
    <t>3. NON-OECD EU Energy Mix - Replacement CO2 Emissions (g CO2e/kWh)</t>
  </si>
  <si>
    <t xml:space="preserve">2. NON-OECD EU  Energy Mix - Trillion Kwh </t>
  </si>
  <si>
    <t>Table E12.gen. Electricity generation: Other Europe and Eurasia, Reference case</t>
  </si>
  <si>
    <t>1. NON-OECD EU Energy Mix - Trillion Kwh</t>
  </si>
  <si>
    <t>##########</t>
  </si>
  <si>
    <t>NON-OECD EUROPE</t>
  </si>
  <si>
    <t>3. NON-OECD EU Energy Mix - Replacement CO2 Emissions  (g CO2e/kWh)</t>
  </si>
  <si>
    <t xml:space="preserve">2. Non-OECD ASIA  Energy Mix - Trillion Kwh </t>
  </si>
  <si>
    <t>Table E15.gen. Electricity generation: Other Non-OECD Asia, Reference case</t>
  </si>
  <si>
    <t>NON-OECD ASIA</t>
  </si>
  <si>
    <t>3. S Korea Energy Mix - Replacement CO2 Emissions (g CO2e/kWh)</t>
  </si>
  <si>
    <t xml:space="preserve">2. S Korea Energy Mix - Trillion Kwh </t>
  </si>
  <si>
    <t>Table E8.gen. Electricity generation: South Korea, Reference case</t>
  </si>
  <si>
    <t>1. S Korea Energy Mix - Trillion Kwh</t>
  </si>
  <si>
    <t>S KOREA</t>
  </si>
  <si>
    <t>3. Japan  Energy Mix - Replacement CO2 Emissions (g CO2e/kWh)</t>
  </si>
  <si>
    <t xml:space="preserve">2. Japan Energy Mix - Trillion Kwh </t>
  </si>
  <si>
    <t>Table E7.gen. Electricity generation: Japan, Reference case</t>
  </si>
  <si>
    <t>1. Japan EU Energy Mix - Trillion Kwh</t>
  </si>
  <si>
    <t>JAPAN</t>
  </si>
  <si>
    <t>3. Africa Energy Mix - Replacement CO2 Emissions (g CO2e/kWh)</t>
  </si>
  <si>
    <t xml:space="preserve">2. Africa  Energy Mix - Trillion Kwh </t>
  </si>
  <si>
    <t>Table E17.gen. Electricity generation: Africa, Reference case</t>
  </si>
  <si>
    <t>1. Africa Energy Mix - Trillion Kwh</t>
  </si>
  <si>
    <t>Table E13.gen. Electricity generation: China, Reference case</t>
  </si>
  <si>
    <t>3. China  Energy Mix - Replacement CO2 Emissions %</t>
  </si>
  <si>
    <t xml:space="preserve">2. China  Energy Mix - Trillion Kwh </t>
  </si>
  <si>
    <t>1. China Energy Mix - Trillion Kwh</t>
  </si>
  <si>
    <t>3. Brazil Energy Mix - Replacement CO2 Emissions (g CO2e/kWh)</t>
  </si>
  <si>
    <t xml:space="preserve">2. Brazil Energy Mix - Trillion Kwh </t>
  </si>
  <si>
    <t>Table E18.gen. Electricity generation: Brazil, Reference case</t>
  </si>
  <si>
    <t>1. Brazil Energy Mix - Trillion Kwh</t>
  </si>
  <si>
    <t>BRAZIL</t>
  </si>
  <si>
    <t>3. Non-OECD AM Energy Mix - Replacement CO2 Emissions (g CO2e/kWh)</t>
  </si>
  <si>
    <t xml:space="preserve">2. Non-OECD AM  Energy Mix - Trillion Kwh </t>
  </si>
  <si>
    <t>Table E19.gen. Electricity generation: Other Non-OECD Americas, Reference case</t>
  </si>
  <si>
    <t>1. OECD AM Energy Mix - TrillioNonn Kwh</t>
  </si>
  <si>
    <t>NON-OECD  AMERICAS</t>
  </si>
  <si>
    <t>3. OECD EU Energy Mix - Replacement CO2 Emissions %</t>
  </si>
  <si>
    <t xml:space="preserve">2. Mexico  Energy Mix - Trillion Kwh </t>
  </si>
  <si>
    <t>Table E5.gen. Electricity generation: Mexico and other OECD Americas, Reference case</t>
  </si>
  <si>
    <t>1. Mexico Energy Mix - Trillion Kwh</t>
  </si>
  <si>
    <t>98gCO2e/kWh</t>
  </si>
  <si>
    <t>97gCO2e/kWh</t>
  </si>
  <si>
    <t>4gCO2e/kWh</t>
  </si>
  <si>
    <t>6gCO2e/kWh</t>
  </si>
  <si>
    <t>MEXICO</t>
  </si>
  <si>
    <t>3. Mid EastEnergy Mix - Replacement CO2 Emissions (g CO2e/kWh)</t>
  </si>
  <si>
    <t xml:space="preserve">2. Mid East  Energy Mix - Trillion Kwh </t>
  </si>
  <si>
    <t>Table E16.gen. Electricity generation: Middle East, Reference case</t>
  </si>
  <si>
    <t>1. Mid East Energy Mix - Trillion Kwh</t>
  </si>
  <si>
    <t>MIDDLE EAST</t>
  </si>
  <si>
    <t>3. Canada Energy Mix - Replacement CO2 Emissions (g CO2e/kWh)</t>
  </si>
  <si>
    <t xml:space="preserve">2. Canada Energy Mix - Trillion Kwh </t>
  </si>
  <si>
    <t>1. Canada Energy Mix - Trillion Kwh</t>
  </si>
  <si>
    <t>CANADA</t>
  </si>
  <si>
    <t>3. NZAU Energy Mix - Replacement CO2 Emissions %</t>
  </si>
  <si>
    <t xml:space="preserve">2. NZ AU Energy Mix - Trillion Kwh </t>
  </si>
  <si>
    <t>Table E9.gen. Electricity generation: Australia and New Zealand, Reference case</t>
  </si>
  <si>
    <t>1. NZ AUEnergy Mix - Trillion Kwh</t>
  </si>
  <si>
    <t>NZ AU</t>
  </si>
  <si>
    <t>Global Energy Mix</t>
  </si>
  <si>
    <t>Tones of CO2 produced</t>
  </si>
  <si>
    <t>Trillion Kwh</t>
  </si>
  <si>
    <t>https://www.ipcc.ch/</t>
  </si>
  <si>
    <t>Source</t>
  </si>
  <si>
    <t>https://www.world-nuclear.org/information-library/energy-and-the-environment/carbon-dioxide-emissions-from-electricity.aspx</t>
  </si>
  <si>
    <t>https://www.carbonbrief.org/solar-wind-nuclear-amazingly-low-carbon-footprints/#:~:text=The%20study%20finds%20each%20kilowatt,equivalent%20(gCO2e%2FkWh).</t>
  </si>
  <si>
    <t>93.17 bituminous</t>
  </si>
  <si>
    <t>Solar Concentrated</t>
  </si>
  <si>
    <t>Wind Offshore</t>
  </si>
  <si>
    <t xml:space="preserve">Geothermal </t>
  </si>
  <si>
    <t>Soalar PV - Roof</t>
  </si>
  <si>
    <t>Solar PV - Industrial</t>
  </si>
  <si>
    <t>Tonnes/Trillion Kwh</t>
  </si>
  <si>
    <t>gCO2/Trillipon Kwh</t>
  </si>
  <si>
    <t>CO2 Emissions/Kwh</t>
  </si>
  <si>
    <t>CO2 equivalent (gCO2e/kWh</t>
  </si>
  <si>
    <t>IPCC</t>
  </si>
  <si>
    <t>Avg. Carbon Savings 
(g CO2e/kWh)</t>
  </si>
  <si>
    <t>Note: Canada data includes only 10 year intervals; 5 year intervals assumed to be previous figures</t>
  </si>
  <si>
    <t>See note</t>
  </si>
  <si>
    <t xml:space="preserve"> steam coal</t>
  </si>
  <si>
    <t xml:space="preserve">Vietnam </t>
  </si>
  <si>
    <t xml:space="preserve">Venezuela </t>
  </si>
  <si>
    <t xml:space="preserve">Uruguay </t>
  </si>
  <si>
    <t xml:space="preserve">United Kingdom </t>
  </si>
  <si>
    <t xml:space="preserve">United Arab Emirates </t>
  </si>
  <si>
    <t xml:space="preserve">Ukraine </t>
  </si>
  <si>
    <t xml:space="preserve">Turkey </t>
  </si>
  <si>
    <t xml:space="preserve">Trinidad And Tobago </t>
  </si>
  <si>
    <t xml:space="preserve">Thailand </t>
  </si>
  <si>
    <t xml:space="preserve">Switzerland </t>
  </si>
  <si>
    <t xml:space="preserve">Sweden </t>
  </si>
  <si>
    <t xml:space="preserve">Spain </t>
  </si>
  <si>
    <t xml:space="preserve">South Korea (Republic Of Korea) </t>
  </si>
  <si>
    <t xml:space="preserve">South Africa </t>
  </si>
  <si>
    <t xml:space="preserve">Slovenia </t>
  </si>
  <si>
    <t xml:space="preserve">Singapore </t>
  </si>
  <si>
    <t xml:space="preserve">Saudi Arabia </t>
  </si>
  <si>
    <t xml:space="preserve">Romania </t>
  </si>
  <si>
    <t xml:space="preserve">Portugal </t>
  </si>
  <si>
    <t xml:space="preserve">Poland </t>
  </si>
  <si>
    <t xml:space="preserve">Peru </t>
  </si>
  <si>
    <t xml:space="preserve">Panama </t>
  </si>
  <si>
    <t xml:space="preserve">Pakistan </t>
  </si>
  <si>
    <t xml:space="preserve">Oman </t>
  </si>
  <si>
    <t xml:space="preserve">Norway </t>
  </si>
  <si>
    <t xml:space="preserve">New Zealand </t>
  </si>
  <si>
    <t xml:space="preserve">Netherlands </t>
  </si>
  <si>
    <t xml:space="preserve">Morocco </t>
  </si>
  <si>
    <t xml:space="preserve">Mexico </t>
  </si>
  <si>
    <t xml:space="preserve">Latvia </t>
  </si>
  <si>
    <t xml:space="preserve">Kenya </t>
  </si>
  <si>
    <t xml:space="preserve">Jordan </t>
  </si>
  <si>
    <t xml:space="preserve">Japan </t>
  </si>
  <si>
    <t xml:space="preserve">Jamaica </t>
  </si>
  <si>
    <t xml:space="preserve">Italy </t>
  </si>
  <si>
    <t xml:space="preserve">Israel </t>
  </si>
  <si>
    <t xml:space="preserve">Ireland </t>
  </si>
  <si>
    <t xml:space="preserve">India </t>
  </si>
  <si>
    <t xml:space="preserve">Hong Kong </t>
  </si>
  <si>
    <t xml:space="preserve">Greece </t>
  </si>
  <si>
    <t xml:space="preserve">Germany, Federal Republic Of </t>
  </si>
  <si>
    <t xml:space="preserve">France </t>
  </si>
  <si>
    <t xml:space="preserve">Finland </t>
  </si>
  <si>
    <t xml:space="preserve">Egypt </t>
  </si>
  <si>
    <t xml:space="preserve">Ecuador </t>
  </si>
  <si>
    <t xml:space="preserve">Dominican Republic </t>
  </si>
  <si>
    <t xml:space="preserve">Dominica </t>
  </si>
  <si>
    <t xml:space="preserve">Denmark (Except Greenland) </t>
  </si>
  <si>
    <t xml:space="preserve">Croatia </t>
  </si>
  <si>
    <t xml:space="preserve">Costa Rica </t>
  </si>
  <si>
    <t xml:space="preserve">Congo (Brazzaville) </t>
  </si>
  <si>
    <t xml:space="preserve">China </t>
  </si>
  <si>
    <t xml:space="preserve">Chile </t>
  </si>
  <si>
    <t xml:space="preserve">Canada </t>
  </si>
  <si>
    <t xml:space="preserve">Bulgaria </t>
  </si>
  <si>
    <t xml:space="preserve">Brazil </t>
  </si>
  <si>
    <t xml:space="preserve">Belgium </t>
  </si>
  <si>
    <t xml:space="preserve">Austria </t>
  </si>
  <si>
    <t xml:space="preserve">Argentina </t>
  </si>
  <si>
    <t xml:space="preserve">Algeria </t>
  </si>
  <si>
    <t>Thu Jul 21 2022 13:34:52 GMT-0500 (Central Daylight Time)</t>
  </si>
  <si>
    <t>https://www.eia.gov/coal/data/browser/#/topic/41?agg=2,1,0&amp;rank=ok&amp;cntry=vvvvvvvvvvvvvvvvvvvvvvvvvvvto&amp;cust=400000000&amp;linechart=&amp;columnchart=&amp;map=COAL.EXPORT_QTY.TOT-TOT-TOT.A&amp;freq=A&amp;start=2001&amp;end=2021&amp;ctype=map&amp;ltype=pin&amp;rtype=s&amp;maptype=0&amp;rse=0&amp;pin=</t>
  </si>
  <si>
    <t xml:space="preserve">Baltimore (steam only) </t>
  </si>
  <si>
    <t>2021 (tons)</t>
  </si>
  <si>
    <t>% total</t>
  </si>
  <si>
    <t>OECD Region</t>
  </si>
  <si>
    <t>Thu Jul 21 2022 13:54:47 GMT-0500 (Central Daylight Time)</t>
  </si>
  <si>
    <t>https://www.eia.gov/coal/data/browser/#/topic/41?agg=2,1,0&amp;rank=ok&amp;cntry=vvvvvvvvvvvvvvvvvvvvvvvvvvvto&amp;cust=000020000&amp;linechart=COAL.EXPORT_QTY.TOT-TOT-NO_LA.A&amp;columnchart=COAL.EXPORT_QTY.TOT-TOT-NO_LA.A&amp;map=COAL.EXPORT_QTY.TOT-TOT-TOT.A&amp;freq=A&amp;start=2001&amp;end=2021&amp;ctype=map&amp;ltype=pin&amp;rtype=s&amp;pin=&amp;rse=0&amp;maptype=0</t>
  </si>
  <si>
    <t xml:space="preserve">Total world </t>
  </si>
  <si>
    <t xml:space="preserve"> all coal</t>
  </si>
  <si>
    <t xml:space="preserve"> metallurgical</t>
  </si>
  <si>
    <t xml:space="preserve"> coke</t>
  </si>
  <si>
    <t xml:space="preserve">Barbados </t>
  </si>
  <si>
    <t xml:space="preserve">Bosnia And Herzegovina </t>
  </si>
  <si>
    <t xml:space="preserve">El Salvador </t>
  </si>
  <si>
    <t xml:space="preserve">Gabon </t>
  </si>
  <si>
    <t xml:space="preserve">Gibraltar </t>
  </si>
  <si>
    <t xml:space="preserve">Guatemala </t>
  </si>
  <si>
    <t xml:space="preserve">Honduras </t>
  </si>
  <si>
    <t xml:space="preserve">Iraq </t>
  </si>
  <si>
    <t xml:space="preserve">Kuwait </t>
  </si>
  <si>
    <t xml:space="preserve">Lebanon </t>
  </si>
  <si>
    <t xml:space="preserve">Liberia </t>
  </si>
  <si>
    <t xml:space="preserve">Mozambique </t>
  </si>
  <si>
    <t xml:space="preserve">Nigeria </t>
  </si>
  <si>
    <t xml:space="preserve">Paraguay </t>
  </si>
  <si>
    <t xml:space="preserve">Russia </t>
  </si>
  <si>
    <t xml:space="preserve">Suriname </t>
  </si>
  <si>
    <t xml:space="preserve">Taiwan </t>
  </si>
  <si>
    <t xml:space="preserve">Togo </t>
  </si>
  <si>
    <t xml:space="preserve">New Orleans (steam only) </t>
  </si>
  <si>
    <t>Thu Jul 21 2022 14:03:59 GMT-0500 (Central Daylight Time)</t>
  </si>
  <si>
    <t>https://www.eia.gov/coal/data/browser/#/topic/41?agg=2,1,0&amp;rank=ok&amp;cntry=vvvvvvvvvvvvvvvvvvvvvvvvvvvto&amp;cust=000040000&amp;linechart=COAL.EXPORT_QTY.TOT-TOT-MO_AL.A&amp;columnchart=COAL.EXPORT_QTY.TOT-TOT-MO_AL.A&amp;map=COAL.EXPORT_QTY.TOT-TOT-TOT.A&amp;freq=A&amp;start=2001&amp;end=2021&amp;ctype=map&amp;ltype=pin&amp;rtype=s&amp;pin=&amp;rse=0&amp;maptype=0</t>
  </si>
  <si>
    <t>COAL.EXPORT_QTY.STM-GB-HG_TX.A</t>
  </si>
  <si>
    <t>COAL.EXPORT_QTY.STM-AE-HG_TX.A</t>
  </si>
  <si>
    <t>COAL.EXPORT_QTY.STM-UA-HG_TX.A</t>
  </si>
  <si>
    <t>COAL.EXPORT_QTY.STM-TM-HG_TX.A</t>
  </si>
  <si>
    <t>COAL.EXPORT_QTY.STM-TH-HG_TX.A</t>
  </si>
  <si>
    <t>COAL.EXPORT_QTY.STM-TZ-HG_TX.A</t>
  </si>
  <si>
    <t>COAL.EXPORT_QTY.STM-SE-HG_TX.A</t>
  </si>
  <si>
    <t>COAL.EXPORT_QTY.STM-SR-HG_TX.A</t>
  </si>
  <si>
    <t>COAL.EXPORT_QTY.STM-KR-HG_TX.A</t>
  </si>
  <si>
    <t>COAL.EXPORT_QTY.STM-SI-HG_TX.A</t>
  </si>
  <si>
    <t>COAL.EXPORT_QTY.STM-SG-HG_TX.A</t>
  </si>
  <si>
    <t>COAL.EXPORT_QTY.STM-RU-HG_TX.A</t>
  </si>
  <si>
    <t>COAL.EXPORT_QTY.STM-RO-HG_TX.A</t>
  </si>
  <si>
    <t>COAL.EXPORT_QTY.STM-QA-HG_TX.A</t>
  </si>
  <si>
    <t>COAL.EXPORT_QTY.STM-PT-HG_TX.A</t>
  </si>
  <si>
    <t>COAL.EXPORT_QTY.STM-PL-HG_TX.A</t>
  </si>
  <si>
    <t>COAL.EXPORT_QTY.STM-PH-HG_TX.A</t>
  </si>
  <si>
    <t>COAL.EXPORT_QTY.STM-PA-HG_TX.A</t>
  </si>
  <si>
    <t>COAL.EXPORT_QTY.STM-OM-HG_TX.A</t>
  </si>
  <si>
    <t>COAL.EXPORT_QTY.STM-NO-HG_TX.A</t>
  </si>
  <si>
    <t>COAL.EXPORT_QTY.STM-NG-HG_TX.A</t>
  </si>
  <si>
    <t>COAL.EXPORT_QTY.STM-NI-HG_TX.A</t>
  </si>
  <si>
    <t>COAL.EXPORT_QTY.STM-NL-HG_TX.A</t>
  </si>
  <si>
    <t>COAL.EXPORT_QTY.STM-MZ-HG_TX.A</t>
  </si>
  <si>
    <t>COAL.EXPORT_QTY.STM-MX-HG_TX.A</t>
  </si>
  <si>
    <t>COAL.EXPORT_QTY.STM-MY-HG_TX.A</t>
  </si>
  <si>
    <t>COAL.EXPORT_QTY.STM-MG-HG_TX.A</t>
  </si>
  <si>
    <t>COAL.EXPORT_QTY.STM-LY-HG_TX.A</t>
  </si>
  <si>
    <t>COAL.EXPORT_QTY.STM-LB-HG_TX.A</t>
  </si>
  <si>
    <t>COAL.EXPORT_QTY.STM-KE-HG_TX.A</t>
  </si>
  <si>
    <t>COAL.EXPORT_QTY.STM-KZ-HG_TX.A</t>
  </si>
  <si>
    <t>COAL.EXPORT_QTY.STM-JO-HG_TX.A</t>
  </si>
  <si>
    <t>COAL.EXPORT_QTY.STM-JM-HG_TX.A</t>
  </si>
  <si>
    <t>COAL.EXPORT_QTY.STM-CI-HG_TX.A</t>
  </si>
  <si>
    <t>COAL.EXPORT_QTY.STM-IL-HG_TX.A</t>
  </si>
  <si>
    <t>COAL.EXPORT_QTY.STM-IE-HG_TX.A</t>
  </si>
  <si>
    <t>COAL.EXPORT_QTY.STM-IQ-HG_TX.A</t>
  </si>
  <si>
    <t>COAL.EXPORT_QTY.STM-ID-HG_TX.A</t>
  </si>
  <si>
    <t>COAL.EXPORT_QTY.STM-HK-HG_TX.A</t>
  </si>
  <si>
    <t>COAL.EXPORT_QTY.STM-HN-HG_TX.A</t>
  </si>
  <si>
    <t>COAL.EXPORT_QTY.STM-GR-HG_TX.A</t>
  </si>
  <si>
    <t>COAL.EXPORT_QTY.STM-GA-HG_TX.A</t>
  </si>
  <si>
    <t>COAL.EXPORT_QTY.STM-FR-HG_TX.A</t>
  </si>
  <si>
    <t>COAL.EXPORT_QTY.STM-FI-HG_TX.A</t>
  </si>
  <si>
    <t>COAL.EXPORT_QTY.STM-ER-HG_TX.A</t>
  </si>
  <si>
    <t>COAL.EXPORT_QTY.STM-SV-HG_TX.A</t>
  </si>
  <si>
    <t>COAL.EXPORT_QTY.STM-DO-HG_TX.A</t>
  </si>
  <si>
    <t>COAL.EXPORT_QTY.STM-CD-HG_TX.A</t>
  </si>
  <si>
    <t>COAL.EXPORT_QTY.STM-CG-HG_TX.A</t>
  </si>
  <si>
    <t>COAL.EXPORT_QTY.STM-CN-HG_TX.A</t>
  </si>
  <si>
    <t>COAL.EXPORT_QTY.STM-CA-HG_TX.A</t>
  </si>
  <si>
    <t>COAL.EXPORT_QTY.STM-CM-HG_TX.A</t>
  </si>
  <si>
    <t>COAL.EXPORT_QTY.STM-BN-HG_TX.A</t>
  </si>
  <si>
    <t>COAL.EXPORT_QTY.STM-IO-HG_TX.A</t>
  </si>
  <si>
    <t>COAL.EXPORT_QTY.STM-BO-HG_TX.A</t>
  </si>
  <si>
    <t>COAL.EXPORT_QTY.STM-BE-HG_TX.A</t>
  </si>
  <si>
    <t>COAL.EXPORT_QTY.STM-BB-HG_TX.A</t>
  </si>
  <si>
    <t>COAL.EXPORT_QTY.STM-AZ-HG_TX.A</t>
  </si>
  <si>
    <t>COAL.EXPORT_QTY.STM-AU-HG_TX.A</t>
  </si>
  <si>
    <t>COAL.EXPORT_QTY.STM-AW-HG_TX.A</t>
  </si>
  <si>
    <t>COAL.EXPORT_QTY.STM-AR-HG_TX.A</t>
  </si>
  <si>
    <t>COAL.EXPORT_QTY.STM-AO-HG_TX.A</t>
  </si>
  <si>
    <t>COAL.EXPORT_QTY.STM-DZ-HG_TX.A</t>
  </si>
  <si>
    <t>Thu Jul 21 2022 14:04:50 GMT-0500 (Central Daylight Time)</t>
  </si>
  <si>
    <t>https://www.eia.gov/coal/data/browser/#/topic/41?agg=2,1,0&amp;rank=ok&amp;cntry=vvvvvvvvvvvvvvvvvvvvvvvvvvvto&amp;cust=000800000&amp;linechart=COAL.EXPORT_QTY.TOT-TOT-HG_TX.A&amp;columnchart=COAL.EXPORT_QTY.TOT-TOT-HG_TX.A&amp;map=COAL.EXPORT_QTY.TOT-TOT-TOT.A&amp;freq=A&amp;start=2001&amp;end=2021&amp;ctype=map&amp;ltype=pin&amp;rtype=s&amp;maptype=0&amp;rse=0&amp;pin=</t>
  </si>
  <si>
    <t>COAL.EXPORT_QTY.STM-TW-SE_WA.A</t>
  </si>
  <si>
    <t>COAL.EXPORT_QTY.STM-ES-SE_WA.A</t>
  </si>
  <si>
    <t>COAL.EXPORT_QTY.STM-SG-SE_WA.A</t>
  </si>
  <si>
    <t>COAL.EXPORT_QTY.STM-SA-SE_WA.A</t>
  </si>
  <si>
    <t>COAL.EXPORT_QTY.STM-NL-SE_WA.A</t>
  </si>
  <si>
    <t>COAL.EXPORT_QTY.STM-MY-SE_WA.A</t>
  </si>
  <si>
    <t>COAL.EXPORT_QTY.STM-HK-SE_WA.A</t>
  </si>
  <si>
    <t>COAL.EXPORT_QTY.STM-EC-SE_WA.A</t>
  </si>
  <si>
    <t>COAL.EXPORT_QTY.STM-CL-SE_WA.A</t>
  </si>
  <si>
    <t>COAL.EXPORT_QTY.STM-AF-SE_WA.A</t>
  </si>
  <si>
    <t>Thu Jul 21 2022 14:05:29 GMT-0500 (Central Daylight Time)</t>
  </si>
  <si>
    <t>https://www.eia.gov/coal/data/browser/#/topic/41?agg=2,1,0&amp;rank=ok&amp;cntry=vvvvvvvvvvvvvvvvvvvvvvvvvvvto&amp;cust=00000000g&amp;linechart=COAL.EXPORT_QTY.TOT-TOT-SE_WA.A&amp;columnchart=COAL.EXPORT_QTY.TOT-TOT-SE_WA.A&amp;map=COAL.EXPORT_QTY.TOT-TOT-TOT.A&amp;freq=A&amp;start=2001&amp;end=2021&amp;ctype=map&amp;ltype=pin&amp;rtype=s&amp;pin=&amp;rse=0&amp;maptype=0</t>
  </si>
  <si>
    <t xml:space="preserve">Angola </t>
  </si>
  <si>
    <t xml:space="preserve">Colombia </t>
  </si>
  <si>
    <t xml:space="preserve">Nicaragua </t>
  </si>
  <si>
    <t xml:space="preserve">Alabama (steam only) </t>
  </si>
  <si>
    <t xml:space="preserve">Aruba </t>
  </si>
  <si>
    <t xml:space="preserve">Australia </t>
  </si>
  <si>
    <t xml:space="preserve">Azerbaijan </t>
  </si>
  <si>
    <t xml:space="preserve">Bolivia </t>
  </si>
  <si>
    <t xml:space="preserve">British Indian Ocean Territory </t>
  </si>
  <si>
    <t xml:space="preserve">Brunei </t>
  </si>
  <si>
    <t xml:space="preserve">Cameroon </t>
  </si>
  <si>
    <t xml:space="preserve">Congo (Kinshasa) </t>
  </si>
  <si>
    <t xml:space="preserve">Equatorial Guinea </t>
  </si>
  <si>
    <t xml:space="preserve">Eritrea </t>
  </si>
  <si>
    <t xml:space="preserve">Indonesia </t>
  </si>
  <si>
    <t xml:space="preserve">Ivory Coast </t>
  </si>
  <si>
    <t xml:space="preserve">Kazakhstan </t>
  </si>
  <si>
    <t xml:space="preserve">Libya </t>
  </si>
  <si>
    <t xml:space="preserve">Madagascar </t>
  </si>
  <si>
    <t xml:space="preserve">Malaysia </t>
  </si>
  <si>
    <t xml:space="preserve">Philippines </t>
  </si>
  <si>
    <t xml:space="preserve">Qatar </t>
  </si>
  <si>
    <t xml:space="preserve">Tanzania (United Republic Of Tanzania) </t>
  </si>
  <si>
    <t xml:space="preserve">Tunisia </t>
  </si>
  <si>
    <t xml:space="preserve">Turkmenistan </t>
  </si>
  <si>
    <t xml:space="preserve">Houston (steam only) </t>
  </si>
  <si>
    <t xml:space="preserve">Afghanistan </t>
  </si>
  <si>
    <t xml:space="preserve">Seattle (steam only) </t>
  </si>
  <si>
    <t>Gross Coal Production</t>
  </si>
  <si>
    <t>A</t>
  </si>
  <si>
    <t>B</t>
  </si>
  <si>
    <t>C</t>
  </si>
  <si>
    <t>D</t>
  </si>
  <si>
    <t xml:space="preserve">B </t>
  </si>
  <si>
    <t>1. Non-OECD ASIA Energy Mix - Replacement CO2 Emissions %</t>
  </si>
  <si>
    <t>https://www.wilsonpowersolutions.co.uk/decrbonising-ev-infrastructure</t>
  </si>
  <si>
    <t>a</t>
  </si>
  <si>
    <t xml:space="preserve">https://impactful.ninja/the-carbon-footprint-of-biomass-energy/#:~:text=Regular%20biomass%20energy%20emits%20230,of%20the%20renewable%20fuel%20types </t>
  </si>
  <si>
    <t>https://www.world-nuclear.org/uploadedFiles/org/WNA/Publications/Working_Group_Reports/comparison_of_lifecycle.pdf</t>
  </si>
  <si>
    <t>b</t>
  </si>
  <si>
    <t>COAL QUALITY &amp; CO2 CONTENT</t>
  </si>
  <si>
    <t>Yearly Coal "Production"             Short tons</t>
  </si>
  <si>
    <t>plus trans</t>
  </si>
  <si>
    <t>a -980</t>
  </si>
  <si>
    <t>22 - 48</t>
  </si>
  <si>
    <t>https://shrinkthatfootprint.com/electricity-emissions-around-the-world-2/</t>
  </si>
  <si>
    <t>USING</t>
  </si>
  <si>
    <t>https://www.ipcc.ch/report/renewable-energy-sources-and-climate-change-mitigation/</t>
  </si>
  <si>
    <t>Used</t>
  </si>
  <si>
    <t>avg</t>
  </si>
  <si>
    <t>Coal to Offset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</si>
</sst>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%"/>
    <numFmt numFmtId="168" formatCode="0E+00"/>
    <numFmt numFmtId="169" formatCode="0.000"/>
    <numFmt numFmtId="170" formatCode="0.0000000000"/>
    <numFmt numFmtId="171" formatCode="#,##0.0"/>
    <numFmt numFmtId="172" formatCode="_(* #,##0.000000_);_(* \(#,##0.000000\);_(* &quot;-&quot;??_);_(@_)"/>
    <numFmt numFmtId="173" formatCode="0.00000E+00"/>
    <numFmt numFmtId="174" formatCode="0.000000000"/>
    <numFmt numFmtId="175" formatCode="0.00000000000"/>
    <numFmt numFmtId="176" formatCode="0.0000000"/>
    <numFmt numFmtId="177" formatCode="#,##0.0000000"/>
    <numFmt numFmtId="178" formatCode="#,##0.00000000"/>
    <numFmt numFmtId="179" formatCode="_(* #,##0.0_);_(* \(#,##0.0\);_(* &quot;-&quot;??_);_(@_)"/>
  </numFmts>
  <fonts count="46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6"/>
      <color theme="1"/>
      <name val="Forum"/>
    </font>
    <font>
      <i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96D7"/>
      <name val="Calibri"/>
      <family val="2"/>
      <scheme val="minor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sz val="12"/>
      <color rgb="FF0000FF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0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305496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rgb="FF0096D7"/>
      </top>
      <bottom/>
      <diagonal/>
    </border>
    <border>
      <left/>
      <right/>
      <top/>
      <bottom style="dashed">
        <color rgb="FFD3D3D3"/>
      </bottom>
      <diagonal/>
    </border>
    <border>
      <left/>
      <right/>
      <top/>
      <bottom style="thick">
        <color rgb="FF0096D7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</borders>
  <cellStyleXfs count="46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1" applyNumberFormat="0" applyAlignment="0" applyProtection="0"/>
    <xf numFmtId="0" fontId="6" fillId="28" borderId="2" applyNumberFormat="0" applyAlignment="0" applyProtection="0"/>
    <xf numFmtId="43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30" borderId="1" applyNumberFormat="0" applyAlignment="0" applyProtection="0"/>
    <xf numFmtId="0" fontId="13" fillId="0" borderId="6" applyNumberFormat="0" applyFill="0" applyAlignment="0" applyProtection="0"/>
    <xf numFmtId="0" fontId="14" fillId="31" borderId="0" applyNumberFormat="0" applyBorder="0" applyAlignment="0" applyProtection="0"/>
    <xf numFmtId="0" fontId="2" fillId="32" borderId="7" applyNumberFormat="0" applyFont="0" applyAlignment="0" applyProtection="0"/>
    <xf numFmtId="0" fontId="15" fillId="27" borderId="8" applyNumberFormat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" fillId="0" borderId="0"/>
  </cellStyleXfs>
  <cellXfs count="342">
    <xf numFmtId="0" fontId="0" fillId="0" borderId="0" xfId="0"/>
    <xf numFmtId="0" fontId="17" fillId="0" borderId="0" xfId="0" applyFont="1"/>
    <xf numFmtId="164" fontId="2" fillId="0" borderId="0" xfId="28" applyNumberFormat="1" applyFont="1"/>
    <xf numFmtId="43" fontId="0" fillId="0" borderId="0" xfId="0" applyNumberFormat="1"/>
    <xf numFmtId="0" fontId="20" fillId="0" borderId="0" xfId="0" applyFont="1"/>
    <xf numFmtId="0" fontId="21" fillId="0" borderId="0" xfId="0" applyFont="1"/>
    <xf numFmtId="10" fontId="2" fillId="0" borderId="0" xfId="40" applyNumberFormat="1" applyFont="1"/>
    <xf numFmtId="10" fontId="17" fillId="0" borderId="0" xfId="40" applyNumberFormat="1" applyFont="1"/>
    <xf numFmtId="10" fontId="20" fillId="0" borderId="0" xfId="0" applyNumberFormat="1" applyFont="1"/>
    <xf numFmtId="10" fontId="22" fillId="0" borderId="0" xfId="0" applyNumberFormat="1" applyFont="1"/>
    <xf numFmtId="0" fontId="23" fillId="0" borderId="0" xfId="0" applyFont="1"/>
    <xf numFmtId="0" fontId="24" fillId="0" borderId="0" xfId="0" applyFont="1"/>
    <xf numFmtId="165" fontId="20" fillId="0" borderId="0" xfId="0" applyNumberFormat="1" applyFont="1"/>
    <xf numFmtId="0" fontId="20" fillId="0" borderId="10" xfId="0" applyFont="1" applyBorder="1"/>
    <xf numFmtId="10" fontId="22" fillId="0" borderId="10" xfId="0" applyNumberFormat="1" applyFont="1" applyBorder="1"/>
    <xf numFmtId="0" fontId="22" fillId="0" borderId="0" xfId="0" applyFont="1"/>
    <xf numFmtId="9" fontId="20" fillId="0" borderId="0" xfId="0" applyNumberFormat="1" applyFont="1"/>
    <xf numFmtId="164" fontId="20" fillId="0" borderId="0" xfId="0" applyNumberFormat="1" applyFont="1"/>
    <xf numFmtId="0" fontId="0" fillId="0" borderId="0" xfId="0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0" fontId="0" fillId="0" borderId="0" xfId="0" applyNumberFormat="1"/>
    <xf numFmtId="9" fontId="0" fillId="0" borderId="0" xfId="0" applyNumberFormat="1"/>
    <xf numFmtId="0" fontId="0" fillId="0" borderId="0" xfId="0" applyAlignment="1">
      <alignment horizontal="center"/>
    </xf>
    <xf numFmtId="164" fontId="0" fillId="0" borderId="0" xfId="28" applyNumberFormat="1" applyFont="1"/>
    <xf numFmtId="9" fontId="0" fillId="0" borderId="0" xfId="40" applyFont="1" applyAlignment="1">
      <alignment horizont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/>
    <xf numFmtId="9" fontId="0" fillId="0" borderId="11" xfId="40" applyFont="1" applyBorder="1"/>
    <xf numFmtId="43" fontId="3" fillId="34" borderId="14" xfId="0" applyNumberFormat="1" applyFont="1" applyFill="1" applyBorder="1"/>
    <xf numFmtId="0" fontId="25" fillId="0" borderId="0" xfId="0" applyFont="1" applyAlignment="1">
      <alignment vertical="center"/>
    </xf>
    <xf numFmtId="10" fontId="0" fillId="0" borderId="0" xfId="40" applyNumberFormat="1" applyFont="1"/>
    <xf numFmtId="167" fontId="17" fillId="0" borderId="0" xfId="40" applyNumberFormat="1" applyFont="1"/>
    <xf numFmtId="10" fontId="17" fillId="0" borderId="0" xfId="0" applyNumberFormat="1" applyFont="1"/>
    <xf numFmtId="0" fontId="17" fillId="0" borderId="11" xfId="0" applyFont="1" applyBorder="1" applyAlignment="1">
      <alignment horizontal="center" vertical="center" wrapText="1"/>
    </xf>
    <xf numFmtId="0" fontId="17" fillId="0" borderId="11" xfId="0" applyFont="1" applyBorder="1"/>
    <xf numFmtId="0" fontId="22" fillId="0" borderId="11" xfId="0" applyFont="1" applyBorder="1" applyAlignment="1">
      <alignment horizontal="center" vertical="center" wrapText="1"/>
    </xf>
    <xf numFmtId="0" fontId="22" fillId="33" borderId="17" xfId="0" applyFont="1" applyFill="1" applyBorder="1" applyAlignment="1">
      <alignment horizontal="center" vertical="center" wrapText="1"/>
    </xf>
    <xf numFmtId="0" fontId="6" fillId="34" borderId="1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166" fontId="17" fillId="0" borderId="0" xfId="40" applyNumberFormat="1" applyFont="1"/>
    <xf numFmtId="0" fontId="20" fillId="0" borderId="0" xfId="0" applyFont="1" applyAlignment="1">
      <alignment horizontal="left" wrapText="1"/>
    </xf>
    <xf numFmtId="166" fontId="0" fillId="0" borderId="0" xfId="40" applyNumberFormat="1" applyFont="1"/>
    <xf numFmtId="164" fontId="0" fillId="0" borderId="0" xfId="28" applyNumberFormat="1" applyFont="1" applyFill="1"/>
    <xf numFmtId="3" fontId="0" fillId="0" borderId="0" xfId="0" applyNumberFormat="1"/>
    <xf numFmtId="0" fontId="26" fillId="36" borderId="12" xfId="0" applyFont="1" applyFill="1" applyBorder="1" applyAlignment="1">
      <alignment horizontal="center"/>
    </xf>
    <xf numFmtId="0" fontId="0" fillId="0" borderId="11" xfId="0" applyBorder="1" applyAlignment="1">
      <alignment vertical="center"/>
    </xf>
    <xf numFmtId="9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28" fillId="0" borderId="0" xfId="0" applyFont="1"/>
    <xf numFmtId="0" fontId="19" fillId="0" borderId="12" xfId="0" applyFont="1" applyBorder="1" applyAlignment="1">
      <alignment horizontal="center"/>
    </xf>
    <xf numFmtId="0" fontId="19" fillId="0" borderId="12" xfId="28" applyNumberFormat="1" applyFont="1" applyBorder="1" applyAlignment="1">
      <alignment horizontal="center"/>
    </xf>
    <xf numFmtId="164" fontId="29" fillId="0" borderId="12" xfId="28" applyNumberFormat="1" applyFont="1" applyBorder="1" applyAlignment="1">
      <alignment horizontal="right" vertical="center" indent="1"/>
    </xf>
    <xf numFmtId="164" fontId="21" fillId="0" borderId="12" xfId="28" applyNumberFormat="1" applyFont="1" applyBorder="1" applyAlignment="1">
      <alignment horizontal="center"/>
    </xf>
    <xf numFmtId="0" fontId="19" fillId="0" borderId="12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/>
    </xf>
    <xf numFmtId="164" fontId="0" fillId="0" borderId="12" xfId="0" applyNumberFormat="1" applyBorder="1"/>
    <xf numFmtId="2" fontId="30" fillId="0" borderId="12" xfId="0" applyNumberFormat="1" applyFon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164" fontId="0" fillId="0" borderId="12" xfId="28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12" xfId="0" applyNumberFormat="1" applyBorder="1" applyAlignment="1">
      <alignment horizontal="center"/>
    </xf>
    <xf numFmtId="9" fontId="0" fillId="0" borderId="0" xfId="40" applyFont="1" applyAlignment="1">
      <alignment vertical="center"/>
    </xf>
    <xf numFmtId="164" fontId="0" fillId="0" borderId="0" xfId="28" applyNumberFormat="1" applyFont="1" applyAlignment="1">
      <alignment vertical="center"/>
    </xf>
    <xf numFmtId="2" fontId="0" fillId="0" borderId="10" xfId="0" applyNumberFormat="1" applyBorder="1" applyAlignment="1">
      <alignment vertical="center"/>
    </xf>
    <xf numFmtId="0" fontId="0" fillId="0" borderId="10" xfId="0" applyBorder="1" applyAlignment="1">
      <alignment vertical="center"/>
    </xf>
    <xf numFmtId="0" fontId="17" fillId="0" borderId="11" xfId="0" applyFont="1" applyBorder="1" applyAlignment="1">
      <alignment vertical="center"/>
    </xf>
    <xf numFmtId="164" fontId="17" fillId="0" borderId="11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43" fontId="0" fillId="0" borderId="0" xfId="0" applyNumberFormat="1" applyAlignment="1">
      <alignment vertical="center"/>
    </xf>
    <xf numFmtId="0" fontId="31" fillId="0" borderId="0" xfId="44"/>
    <xf numFmtId="0" fontId="0" fillId="0" borderId="0" xfId="0" applyAlignment="1">
      <alignment horizontal="right" vertical="center"/>
    </xf>
    <xf numFmtId="0" fontId="17" fillId="37" borderId="21" xfId="0" applyFont="1" applyFill="1" applyBorder="1" applyAlignment="1">
      <alignment vertical="center"/>
    </xf>
    <xf numFmtId="0" fontId="6" fillId="38" borderId="16" xfId="0" applyFont="1" applyFill="1" applyBorder="1" applyAlignment="1">
      <alignment vertical="center"/>
    </xf>
    <xf numFmtId="0" fontId="6" fillId="38" borderId="10" xfId="0" applyFont="1" applyFill="1" applyBorder="1" applyAlignment="1">
      <alignment vertical="center"/>
    </xf>
    <xf numFmtId="0" fontId="6" fillId="38" borderId="11" xfId="0" applyFont="1" applyFill="1" applyBorder="1" applyAlignment="1">
      <alignment horizontal="center" vertical="center" wrapText="1"/>
    </xf>
    <xf numFmtId="0" fontId="3" fillId="38" borderId="10" xfId="0" applyFont="1" applyFill="1" applyBorder="1" applyAlignment="1">
      <alignment vertical="center"/>
    </xf>
    <xf numFmtId="0" fontId="3" fillId="38" borderId="10" xfId="0" applyFont="1" applyFill="1" applyBorder="1" applyAlignment="1">
      <alignment horizontal="right" vertical="center"/>
    </xf>
    <xf numFmtId="0" fontId="3" fillId="38" borderId="15" xfId="0" applyFont="1" applyFill="1" applyBorder="1" applyAlignment="1">
      <alignment vertical="center"/>
    </xf>
    <xf numFmtId="0" fontId="0" fillId="0" borderId="20" xfId="0" applyBorder="1" applyAlignment="1">
      <alignment vertical="center"/>
    </xf>
    <xf numFmtId="0" fontId="3" fillId="38" borderId="14" xfId="0" applyFont="1" applyFill="1" applyBorder="1" applyAlignment="1">
      <alignment vertical="center"/>
    </xf>
    <xf numFmtId="0" fontId="3" fillId="38" borderId="0" xfId="0" applyFont="1" applyFill="1" applyAlignment="1">
      <alignment vertical="center"/>
    </xf>
    <xf numFmtId="164" fontId="3" fillId="38" borderId="0" xfId="0" applyNumberFormat="1" applyFont="1" applyFill="1" applyAlignment="1">
      <alignment vertical="center"/>
    </xf>
    <xf numFmtId="0" fontId="3" fillId="38" borderId="0" xfId="0" applyFont="1" applyFill="1" applyAlignment="1">
      <alignment horizontal="right" vertical="center"/>
    </xf>
    <xf numFmtId="0" fontId="3" fillId="38" borderId="13" xfId="0" applyFont="1" applyFill="1" applyBorder="1" applyAlignment="1">
      <alignment vertical="center"/>
    </xf>
    <xf numFmtId="169" fontId="3" fillId="38" borderId="14" xfId="0" applyNumberFormat="1" applyFont="1" applyFill="1" applyBorder="1" applyAlignment="1">
      <alignment vertical="center"/>
    </xf>
    <xf numFmtId="165" fontId="3" fillId="38" borderId="0" xfId="0" applyNumberFormat="1" applyFont="1" applyFill="1" applyAlignment="1">
      <alignment vertical="center"/>
    </xf>
    <xf numFmtId="164" fontId="3" fillId="38" borderId="0" xfId="28" applyNumberFormat="1" applyFont="1" applyFill="1" applyBorder="1" applyAlignment="1">
      <alignment vertical="center"/>
    </xf>
    <xf numFmtId="0" fontId="3" fillId="38" borderId="0" xfId="0" applyFont="1" applyFill="1" applyAlignment="1">
      <alignment horizontal="center" vertical="center"/>
    </xf>
    <xf numFmtId="0" fontId="3" fillId="38" borderId="11" xfId="0" applyFont="1" applyFill="1" applyBorder="1" applyAlignment="1">
      <alignment vertical="center"/>
    </xf>
    <xf numFmtId="0" fontId="6" fillId="38" borderId="17" xfId="0" applyFont="1" applyFill="1" applyBorder="1" applyAlignment="1">
      <alignment vertical="center"/>
    </xf>
    <xf numFmtId="43" fontId="6" fillId="34" borderId="20" xfId="0" applyNumberFormat="1" applyFont="1" applyFill="1" applyBorder="1"/>
    <xf numFmtId="0" fontId="3" fillId="38" borderId="15" xfId="0" applyFont="1" applyFill="1" applyBorder="1" applyAlignment="1">
      <alignment horizontal="left"/>
    </xf>
    <xf numFmtId="0" fontId="3" fillId="38" borderId="13" xfId="0" applyFont="1" applyFill="1" applyBorder="1" applyAlignment="1">
      <alignment horizontal="left"/>
    </xf>
    <xf numFmtId="43" fontId="3" fillId="38" borderId="22" xfId="0" applyNumberFormat="1" applyFont="1" applyFill="1" applyBorder="1"/>
    <xf numFmtId="10" fontId="3" fillId="38" borderId="23" xfId="40" applyNumberFormat="1" applyFont="1" applyFill="1" applyBorder="1"/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0" fontId="6" fillId="34" borderId="12" xfId="0" applyFont="1" applyFill="1" applyBorder="1" applyAlignment="1">
      <alignment horizontal="center" vertical="center" wrapText="1"/>
    </xf>
    <xf numFmtId="0" fontId="6" fillId="34" borderId="12" xfId="0" applyFont="1" applyFill="1" applyBorder="1" applyAlignment="1">
      <alignment horizontal="center" wrapText="1"/>
    </xf>
    <xf numFmtId="0" fontId="6" fillId="38" borderId="17" xfId="0" applyFont="1" applyFill="1" applyBorder="1" applyAlignment="1">
      <alignment horizontal="center" vertical="center" wrapText="1"/>
    </xf>
    <xf numFmtId="2" fontId="0" fillId="0" borderId="0" xfId="0" applyNumberFormat="1"/>
    <xf numFmtId="0" fontId="0" fillId="0" borderId="16" xfId="0" applyBorder="1"/>
    <xf numFmtId="0" fontId="0" fillId="0" borderId="10" xfId="0" applyBorder="1"/>
    <xf numFmtId="2" fontId="0" fillId="0" borderId="15" xfId="0" applyNumberFormat="1" applyBorder="1"/>
    <xf numFmtId="2" fontId="0" fillId="0" borderId="16" xfId="0" applyNumberFormat="1" applyBorder="1"/>
    <xf numFmtId="2" fontId="0" fillId="0" borderId="10" xfId="0" applyNumberFormat="1" applyBorder="1"/>
    <xf numFmtId="0" fontId="0" fillId="0" borderId="15" xfId="0" applyBorder="1"/>
    <xf numFmtId="169" fontId="0" fillId="0" borderId="14" xfId="0" applyNumberFormat="1" applyBorder="1"/>
    <xf numFmtId="0" fontId="0" fillId="0" borderId="13" xfId="0" applyBorder="1"/>
    <xf numFmtId="2" fontId="0" fillId="0" borderId="14" xfId="0" applyNumberFormat="1" applyBorder="1"/>
    <xf numFmtId="2" fontId="0" fillId="0" borderId="0" xfId="40" applyNumberFormat="1" applyFont="1" applyBorder="1"/>
    <xf numFmtId="165" fontId="0" fillId="0" borderId="0" xfId="40" applyNumberFormat="1" applyFont="1"/>
    <xf numFmtId="165" fontId="0" fillId="0" borderId="14" xfId="40" applyNumberFormat="1" applyFont="1" applyBorder="1"/>
    <xf numFmtId="165" fontId="0" fillId="0" borderId="0" xfId="40" applyNumberFormat="1" applyFont="1" applyBorder="1"/>
    <xf numFmtId="9" fontId="0" fillId="0" borderId="0" xfId="40" applyFont="1" applyBorder="1"/>
    <xf numFmtId="43" fontId="0" fillId="0" borderId="14" xfId="0" applyNumberFormat="1" applyBorder="1"/>
    <xf numFmtId="0" fontId="0" fillId="0" borderId="14" xfId="0" applyBorder="1"/>
    <xf numFmtId="169" fontId="0" fillId="37" borderId="14" xfId="0" applyNumberFormat="1" applyFill="1" applyBorder="1"/>
    <xf numFmtId="2" fontId="0" fillId="37" borderId="0" xfId="0" applyNumberFormat="1" applyFill="1"/>
    <xf numFmtId="0" fontId="0" fillId="37" borderId="13" xfId="0" applyFill="1" applyBorder="1"/>
    <xf numFmtId="2" fontId="0" fillId="37" borderId="14" xfId="0" applyNumberFormat="1" applyFill="1" applyBorder="1"/>
    <xf numFmtId="2" fontId="0" fillId="37" borderId="0" xfId="40" applyNumberFormat="1" applyFont="1" applyFill="1" applyBorder="1"/>
    <xf numFmtId="165" fontId="0" fillId="37" borderId="0" xfId="40" applyNumberFormat="1" applyFont="1" applyFill="1"/>
    <xf numFmtId="43" fontId="0" fillId="37" borderId="0" xfId="0" applyNumberFormat="1" applyFill="1"/>
    <xf numFmtId="43" fontId="0" fillId="37" borderId="14" xfId="0" applyNumberFormat="1" applyFill="1" applyBorder="1"/>
    <xf numFmtId="0" fontId="0" fillId="37" borderId="0" xfId="0" applyFill="1"/>
    <xf numFmtId="0" fontId="0" fillId="37" borderId="14" xfId="0" applyFill="1" applyBorder="1"/>
    <xf numFmtId="0" fontId="17" fillId="37" borderId="18" xfId="0" applyFont="1" applyFill="1" applyBorder="1" applyAlignment="1">
      <alignment horizontal="center" vertical="center" wrapText="1"/>
    </xf>
    <xf numFmtId="0" fontId="17" fillId="37" borderId="11" xfId="0" applyFont="1" applyFill="1" applyBorder="1" applyAlignment="1">
      <alignment vertical="center"/>
    </xf>
    <xf numFmtId="0" fontId="0" fillId="37" borderId="11" xfId="0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32" fillId="0" borderId="0" xfId="0" applyFont="1"/>
    <xf numFmtId="0" fontId="33" fillId="0" borderId="0" xfId="0" applyFont="1" applyAlignment="1">
      <alignment horizontal="center"/>
    </xf>
    <xf numFmtId="170" fontId="3" fillId="38" borderId="0" xfId="0" applyNumberFormat="1" applyFont="1" applyFill="1" applyAlignment="1">
      <alignment vertical="center"/>
    </xf>
    <xf numFmtId="0" fontId="6" fillId="0" borderId="0" xfId="0" applyFont="1"/>
    <xf numFmtId="10" fontId="3" fillId="0" borderId="0" xfId="40" applyNumberFormat="1" applyFont="1" applyFill="1" applyBorder="1"/>
    <xf numFmtId="43" fontId="6" fillId="0" borderId="0" xfId="0" applyNumberFormat="1" applyFont="1"/>
    <xf numFmtId="43" fontId="3" fillId="0" borderId="0" xfId="0" applyNumberFormat="1" applyFont="1"/>
    <xf numFmtId="0" fontId="34" fillId="0" borderId="24" xfId="0" applyFont="1" applyBorder="1" applyAlignment="1">
      <alignment vertical="top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171" fontId="34" fillId="0" borderId="25" xfId="0" applyNumberFormat="1" applyFont="1" applyBorder="1" applyAlignment="1">
      <alignment horizontal="right"/>
    </xf>
    <xf numFmtId="3" fontId="34" fillId="0" borderId="25" xfId="0" applyNumberFormat="1" applyFont="1" applyBorder="1"/>
    <xf numFmtId="0" fontId="3" fillId="39" borderId="0" xfId="0" applyFont="1" applyFill="1"/>
    <xf numFmtId="10" fontId="3" fillId="38" borderId="16" xfId="40" applyNumberFormat="1" applyFont="1" applyFill="1" applyBorder="1"/>
    <xf numFmtId="10" fontId="3" fillId="38" borderId="10" xfId="40" applyNumberFormat="1" applyFont="1" applyFill="1" applyBorder="1"/>
    <xf numFmtId="10" fontId="3" fillId="38" borderId="15" xfId="40" applyNumberFormat="1" applyFont="1" applyFill="1" applyBorder="1"/>
    <xf numFmtId="43" fontId="3" fillId="39" borderId="0" xfId="0" applyNumberFormat="1" applyFont="1" applyFill="1"/>
    <xf numFmtId="172" fontId="3" fillId="38" borderId="14" xfId="28" applyNumberFormat="1" applyFont="1" applyFill="1" applyBorder="1"/>
    <xf numFmtId="43" fontId="3" fillId="38" borderId="0" xfId="28" applyFont="1" applyFill="1" applyBorder="1"/>
    <xf numFmtId="43" fontId="3" fillId="38" borderId="22" xfId="28" applyFont="1" applyFill="1" applyBorder="1"/>
    <xf numFmtId="0" fontId="37" fillId="0" borderId="26" xfId="0" applyFont="1" applyBorder="1" applyAlignment="1">
      <alignment horizontal="right" wrapText="1"/>
    </xf>
    <xf numFmtId="0" fontId="37" fillId="0" borderId="26" xfId="0" applyFont="1" applyBorder="1" applyAlignment="1">
      <alignment wrapText="1"/>
    </xf>
    <xf numFmtId="0" fontId="6" fillId="39" borderId="0" xfId="0" applyFont="1" applyFill="1" applyAlignment="1">
      <alignment vertical="center" wrapText="1"/>
    </xf>
    <xf numFmtId="0" fontId="6" fillId="39" borderId="0" xfId="0" applyFont="1" applyFill="1" applyAlignment="1">
      <alignment vertical="center"/>
    </xf>
    <xf numFmtId="43" fontId="6" fillId="39" borderId="0" xfId="0" applyNumberFormat="1" applyFont="1" applyFill="1" applyAlignment="1">
      <alignment vertical="center"/>
    </xf>
    <xf numFmtId="172" fontId="3" fillId="38" borderId="27" xfId="28" applyNumberFormat="1" applyFont="1" applyFill="1" applyBorder="1"/>
    <xf numFmtId="0" fontId="0" fillId="0" borderId="0" xfId="0" applyAlignment="1">
      <alignment horizontal="right"/>
    </xf>
    <xf numFmtId="0" fontId="34" fillId="0" borderId="0" xfId="0" applyFont="1"/>
    <xf numFmtId="0" fontId="6" fillId="38" borderId="18" xfId="0" applyFont="1" applyFill="1" applyBorder="1" applyAlignment="1">
      <alignment vertical="center"/>
    </xf>
    <xf numFmtId="0" fontId="6" fillId="38" borderId="11" xfId="0" applyFont="1" applyFill="1" applyBorder="1" applyAlignment="1">
      <alignment vertical="center"/>
    </xf>
    <xf numFmtId="0" fontId="38" fillId="0" borderId="0" xfId="0" applyFont="1"/>
    <xf numFmtId="10" fontId="3" fillId="38" borderId="14" xfId="40" applyNumberFormat="1" applyFont="1" applyFill="1" applyBorder="1"/>
    <xf numFmtId="10" fontId="3" fillId="38" borderId="0" xfId="40" applyNumberFormat="1" applyFont="1" applyFill="1" applyBorder="1"/>
    <xf numFmtId="43" fontId="17" fillId="0" borderId="14" xfId="0" applyNumberFormat="1" applyFont="1" applyBorder="1"/>
    <xf numFmtId="43" fontId="0" fillId="0" borderId="22" xfId="0" applyNumberFormat="1" applyBorder="1"/>
    <xf numFmtId="10" fontId="3" fillId="38" borderId="27" xfId="40" applyNumberFormat="1" applyFont="1" applyFill="1" applyBorder="1"/>
    <xf numFmtId="10" fontId="3" fillId="38" borderId="22" xfId="40" applyNumberFormat="1" applyFont="1" applyFill="1" applyBorder="1"/>
    <xf numFmtId="43" fontId="17" fillId="0" borderId="27" xfId="0" applyNumberFormat="1" applyFont="1" applyBorder="1"/>
    <xf numFmtId="0" fontId="0" fillId="0" borderId="23" xfId="0" applyBorder="1"/>
    <xf numFmtId="0" fontId="3" fillId="38" borderId="21" xfId="0" applyFont="1" applyFill="1" applyBorder="1"/>
    <xf numFmtId="0" fontId="3" fillId="38" borderId="16" xfId="0" applyFont="1" applyFill="1" applyBorder="1"/>
    <xf numFmtId="0" fontId="3" fillId="38" borderId="10" xfId="0" applyFont="1" applyFill="1" applyBorder="1"/>
    <xf numFmtId="0" fontId="3" fillId="38" borderId="15" xfId="0" applyFont="1" applyFill="1" applyBorder="1"/>
    <xf numFmtId="0" fontId="3" fillId="38" borderId="20" xfId="0" applyFont="1" applyFill="1" applyBorder="1"/>
    <xf numFmtId="0" fontId="3" fillId="38" borderId="14" xfId="0" applyFont="1" applyFill="1" applyBorder="1"/>
    <xf numFmtId="0" fontId="3" fillId="38" borderId="0" xfId="0" applyFont="1" applyFill="1"/>
    <xf numFmtId="173" fontId="0" fillId="0" borderId="0" xfId="0" applyNumberFormat="1"/>
    <xf numFmtId="166" fontId="0" fillId="0" borderId="0" xfId="40" applyNumberFormat="1" applyFont="1" applyBorder="1"/>
    <xf numFmtId="0" fontId="3" fillId="38" borderId="27" xfId="0" applyFont="1" applyFill="1" applyBorder="1"/>
    <xf numFmtId="0" fontId="3" fillId="38" borderId="22" xfId="0" applyFont="1" applyFill="1" applyBorder="1"/>
    <xf numFmtId="0" fontId="3" fillId="38" borderId="23" xfId="0" applyFont="1" applyFill="1" applyBorder="1"/>
    <xf numFmtId="0" fontId="6" fillId="38" borderId="20" xfId="0" applyFont="1" applyFill="1" applyBorder="1" applyAlignment="1">
      <alignment vertical="center"/>
    </xf>
    <xf numFmtId="0" fontId="3" fillId="38" borderId="19" xfId="0" applyFont="1" applyFill="1" applyBorder="1"/>
    <xf numFmtId="0" fontId="39" fillId="0" borderId="0" xfId="0" applyFont="1" applyAlignment="1">
      <alignment horizontal="left" vertical="center" indent="3" readingOrder="1"/>
    </xf>
    <xf numFmtId="0" fontId="40" fillId="0" borderId="0" xfId="0" applyFont="1" applyAlignment="1">
      <alignment horizontal="left" vertical="center" indent="3" readingOrder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2" fillId="40" borderId="0" xfId="0" applyFont="1" applyFill="1" applyAlignment="1">
      <alignment vertical="center"/>
    </xf>
    <xf numFmtId="0" fontId="41" fillId="41" borderId="16" xfId="0" applyFont="1" applyFill="1" applyBorder="1" applyAlignment="1">
      <alignment vertical="center"/>
    </xf>
    <xf numFmtId="0" fontId="41" fillId="41" borderId="10" xfId="0" applyFont="1" applyFill="1" applyBorder="1" applyAlignment="1">
      <alignment vertical="center"/>
    </xf>
    <xf numFmtId="0" fontId="41" fillId="42" borderId="11" xfId="0" applyFont="1" applyFill="1" applyBorder="1" applyAlignment="1">
      <alignment horizontal="center" vertical="center" wrapText="1"/>
    </xf>
    <xf numFmtId="0" fontId="42" fillId="42" borderId="10" xfId="0" applyFont="1" applyFill="1" applyBorder="1" applyAlignment="1">
      <alignment vertical="center"/>
    </xf>
    <xf numFmtId="0" fontId="42" fillId="42" borderId="10" xfId="0" applyFont="1" applyFill="1" applyBorder="1" applyAlignment="1">
      <alignment horizontal="right" vertical="center"/>
    </xf>
    <xf numFmtId="0" fontId="42" fillId="42" borderId="15" xfId="0" applyFont="1" applyFill="1" applyBorder="1" applyAlignment="1">
      <alignment vertical="center"/>
    </xf>
    <xf numFmtId="169" fontId="42" fillId="41" borderId="14" xfId="0" applyNumberFormat="1" applyFont="1" applyFill="1" applyBorder="1" applyAlignment="1">
      <alignment vertical="center"/>
    </xf>
    <xf numFmtId="165" fontId="42" fillId="41" borderId="0" xfId="0" applyNumberFormat="1" applyFont="1" applyFill="1" applyAlignment="1">
      <alignment vertical="center"/>
    </xf>
    <xf numFmtId="0" fontId="42" fillId="42" borderId="0" xfId="0" applyFont="1" applyFill="1" applyAlignment="1">
      <alignment vertical="center"/>
    </xf>
    <xf numFmtId="164" fontId="42" fillId="42" borderId="0" xfId="0" applyNumberFormat="1" applyFont="1" applyFill="1" applyAlignment="1">
      <alignment vertical="center"/>
    </xf>
    <xf numFmtId="0" fontId="42" fillId="42" borderId="0" xfId="0" applyFont="1" applyFill="1" applyAlignment="1">
      <alignment horizontal="right" vertical="center"/>
    </xf>
    <xf numFmtId="0" fontId="42" fillId="42" borderId="13" xfId="0" applyFont="1" applyFill="1" applyBorder="1" applyAlignment="1">
      <alignment vertical="center"/>
    </xf>
    <xf numFmtId="0" fontId="42" fillId="41" borderId="14" xfId="0" applyFont="1" applyFill="1" applyBorder="1" applyAlignment="1">
      <alignment vertical="center"/>
    </xf>
    <xf numFmtId="0" fontId="42" fillId="41" borderId="0" xfId="0" applyFont="1" applyFill="1" applyAlignment="1">
      <alignment vertical="center"/>
    </xf>
    <xf numFmtId="174" fontId="0" fillId="0" borderId="0" xfId="0" applyNumberFormat="1"/>
    <xf numFmtId="0" fontId="22" fillId="0" borderId="0" xfId="0" applyFont="1" applyAlignment="1">
      <alignment horizontal="center" vertical="center" wrapText="1"/>
    </xf>
    <xf numFmtId="0" fontId="41" fillId="41" borderId="18" xfId="0" applyFont="1" applyFill="1" applyBorder="1" applyAlignment="1">
      <alignment horizontal="center" vertical="center" wrapText="1"/>
    </xf>
    <xf numFmtId="0" fontId="41" fillId="41" borderId="11" xfId="0" applyFont="1" applyFill="1" applyBorder="1" applyAlignment="1">
      <alignment horizontal="center" vertical="center" wrapText="1"/>
    </xf>
    <xf numFmtId="0" fontId="42" fillId="42" borderId="11" xfId="0" applyFont="1" applyFill="1" applyBorder="1" applyAlignment="1">
      <alignment vertical="center"/>
    </xf>
    <xf numFmtId="0" fontId="41" fillId="42" borderId="17" xfId="0" applyFont="1" applyFill="1" applyBorder="1" applyAlignment="1">
      <alignment vertical="center"/>
    </xf>
    <xf numFmtId="0" fontId="3" fillId="0" borderId="0" xfId="0" applyFont="1"/>
    <xf numFmtId="43" fontId="3" fillId="38" borderId="14" xfId="28" applyFont="1" applyFill="1" applyBorder="1"/>
    <xf numFmtId="43" fontId="3" fillId="38" borderId="27" xfId="28" applyFont="1" applyFill="1" applyBorder="1"/>
    <xf numFmtId="0" fontId="6" fillId="38" borderId="20" xfId="0" applyFont="1" applyFill="1" applyBorder="1" applyAlignment="1">
      <alignment horizontal="center"/>
    </xf>
    <xf numFmtId="10" fontId="3" fillId="0" borderId="0" xfId="0" applyNumberFormat="1" applyFont="1"/>
    <xf numFmtId="43" fontId="20" fillId="0" borderId="0" xfId="0" applyNumberFormat="1" applyFont="1"/>
    <xf numFmtId="10" fontId="3" fillId="38" borderId="16" xfId="0" applyNumberFormat="1" applyFont="1" applyFill="1" applyBorder="1"/>
    <xf numFmtId="10" fontId="3" fillId="38" borderId="10" xfId="0" applyNumberFormat="1" applyFont="1" applyFill="1" applyBorder="1"/>
    <xf numFmtId="10" fontId="3" fillId="38" borderId="15" xfId="0" applyNumberFormat="1" applyFont="1" applyFill="1" applyBorder="1"/>
    <xf numFmtId="0" fontId="6" fillId="38" borderId="15" xfId="0" applyFont="1" applyFill="1" applyBorder="1" applyAlignment="1">
      <alignment vertical="center"/>
    </xf>
    <xf numFmtId="175" fontId="3" fillId="38" borderId="0" xfId="0" applyNumberFormat="1" applyFont="1" applyFill="1"/>
    <xf numFmtId="0" fontId="41" fillId="43" borderId="16" xfId="0" applyFont="1" applyFill="1" applyBorder="1" applyAlignment="1">
      <alignment vertical="center"/>
    </xf>
    <xf numFmtId="0" fontId="41" fillId="43" borderId="10" xfId="0" applyFont="1" applyFill="1" applyBorder="1" applyAlignment="1">
      <alignment vertical="center"/>
    </xf>
    <xf numFmtId="169" fontId="42" fillId="43" borderId="14" xfId="0" applyNumberFormat="1" applyFont="1" applyFill="1" applyBorder="1" applyAlignment="1">
      <alignment vertical="center"/>
    </xf>
    <xf numFmtId="0" fontId="42" fillId="43" borderId="0" xfId="0" applyFont="1" applyFill="1" applyAlignment="1">
      <alignment vertical="center"/>
    </xf>
    <xf numFmtId="0" fontId="42" fillId="43" borderId="14" xfId="0" applyFont="1" applyFill="1" applyBorder="1" applyAlignment="1">
      <alignment vertical="center"/>
    </xf>
    <xf numFmtId="165" fontId="42" fillId="43" borderId="0" xfId="0" applyNumberFormat="1" applyFont="1" applyFill="1" applyAlignment="1">
      <alignment vertical="center"/>
    </xf>
    <xf numFmtId="0" fontId="41" fillId="43" borderId="18" xfId="0" applyFont="1" applyFill="1" applyBorder="1" applyAlignment="1">
      <alignment horizontal="center" vertical="center" wrapText="1"/>
    </xf>
    <xf numFmtId="176" fontId="3" fillId="38" borderId="0" xfId="0" applyNumberFormat="1" applyFont="1" applyFill="1"/>
    <xf numFmtId="10" fontId="3" fillId="38" borderId="29" xfId="40" applyNumberFormat="1" applyFont="1" applyFill="1" applyBorder="1"/>
    <xf numFmtId="10" fontId="3" fillId="38" borderId="30" xfId="40" applyNumberFormat="1" applyFont="1" applyFill="1" applyBorder="1"/>
    <xf numFmtId="10" fontId="3" fillId="38" borderId="31" xfId="40" applyNumberFormat="1" applyFont="1" applyFill="1" applyBorder="1"/>
    <xf numFmtId="10" fontId="3" fillId="38" borderId="32" xfId="40" applyNumberFormat="1" applyFont="1" applyFill="1" applyBorder="1"/>
    <xf numFmtId="10" fontId="3" fillId="38" borderId="33" xfId="40" applyNumberFormat="1" applyFont="1" applyFill="1" applyBorder="1"/>
    <xf numFmtId="0" fontId="6" fillId="38" borderId="32" xfId="0" applyFont="1" applyFill="1" applyBorder="1" applyAlignment="1">
      <alignment vertical="center"/>
    </xf>
    <xf numFmtId="0" fontId="6" fillId="38" borderId="0" xfId="0" applyFont="1" applyFill="1" applyAlignment="1">
      <alignment vertical="center"/>
    </xf>
    <xf numFmtId="0" fontId="6" fillId="38" borderId="33" xfId="0" applyFont="1" applyFill="1" applyBorder="1" applyAlignment="1">
      <alignment vertical="center"/>
    </xf>
    <xf numFmtId="0" fontId="0" fillId="38" borderId="0" xfId="0" applyFill="1"/>
    <xf numFmtId="0" fontId="6" fillId="38" borderId="0" xfId="0" applyFont="1" applyFill="1" applyAlignment="1">
      <alignment horizontal="center" vertical="center"/>
    </xf>
    <xf numFmtId="0" fontId="3" fillId="0" borderId="0" xfId="0" applyFont="1" applyAlignment="1">
      <alignment horizontal="left"/>
    </xf>
    <xf numFmtId="0" fontId="20" fillId="38" borderId="0" xfId="0" applyFont="1" applyFill="1"/>
    <xf numFmtId="177" fontId="3" fillId="38" borderId="0" xfId="0" applyNumberFormat="1" applyFont="1" applyFill="1"/>
    <xf numFmtId="178" fontId="3" fillId="38" borderId="0" xfId="0" applyNumberFormat="1" applyFont="1" applyFill="1"/>
    <xf numFmtId="43" fontId="3" fillId="44" borderId="27" xfId="0" applyNumberFormat="1" applyFont="1" applyFill="1" applyBorder="1"/>
    <xf numFmtId="43" fontId="3" fillId="44" borderId="22" xfId="0" applyNumberFormat="1" applyFont="1" applyFill="1" applyBorder="1"/>
    <xf numFmtId="0" fontId="42" fillId="42" borderId="0" xfId="0" applyFont="1" applyFill="1" applyAlignment="1">
      <alignment horizontal="center" vertical="center"/>
    </xf>
    <xf numFmtId="0" fontId="41" fillId="43" borderId="11" xfId="0" applyFont="1" applyFill="1" applyBorder="1" applyAlignment="1">
      <alignment horizontal="center" vertical="center" wrapText="1"/>
    </xf>
    <xf numFmtId="0" fontId="17" fillId="37" borderId="0" xfId="0" applyFont="1" applyFill="1" applyAlignment="1">
      <alignment vertical="center"/>
    </xf>
    <xf numFmtId="0" fontId="6" fillId="38" borderId="18" xfId="0" applyFont="1" applyFill="1" applyBorder="1" applyAlignment="1">
      <alignment horizontal="center" vertical="center" wrapText="1"/>
    </xf>
    <xf numFmtId="9" fontId="0" fillId="0" borderId="0" xfId="40" applyFont="1"/>
    <xf numFmtId="9" fontId="0" fillId="37" borderId="0" xfId="40" applyFont="1" applyFill="1"/>
    <xf numFmtId="164" fontId="0" fillId="0" borderId="0" xfId="0" applyNumberFormat="1"/>
    <xf numFmtId="0" fontId="17" fillId="0" borderId="11" xfId="0" applyFont="1" applyBorder="1" applyAlignment="1">
      <alignment horizontal="center" wrapText="1"/>
    </xf>
    <xf numFmtId="9" fontId="43" fillId="36" borderId="12" xfId="40" applyFont="1" applyFill="1" applyBorder="1" applyAlignment="1">
      <alignment horizontal="center" vertical="center"/>
    </xf>
    <xf numFmtId="9" fontId="43" fillId="0" borderId="0" xfId="40" applyFont="1" applyAlignment="1">
      <alignment horizontal="center" vertical="center"/>
    </xf>
    <xf numFmtId="9" fontId="43" fillId="0" borderId="0" xfId="40" applyFont="1" applyFill="1" applyAlignment="1">
      <alignment horizontal="center" vertical="center"/>
    </xf>
    <xf numFmtId="9" fontId="43" fillId="0" borderId="0" xfId="40" applyFont="1" applyAlignment="1">
      <alignment horizontal="center"/>
    </xf>
    <xf numFmtId="179" fontId="0" fillId="0" borderId="0" xfId="0" applyNumberFormat="1"/>
    <xf numFmtId="0" fontId="6" fillId="45" borderId="11" xfId="0" applyFont="1" applyFill="1" applyBorder="1" applyAlignment="1">
      <alignment horizontal="center" vertical="center" wrapText="1"/>
    </xf>
    <xf numFmtId="43" fontId="6" fillId="45" borderId="22" xfId="0" applyNumberFormat="1" applyFont="1" applyFill="1" applyBorder="1"/>
    <xf numFmtId="43" fontId="6" fillId="45" borderId="0" xfId="0" applyNumberFormat="1" applyFont="1" applyFill="1"/>
    <xf numFmtId="164" fontId="17" fillId="0" borderId="0" xfId="28" applyNumberFormat="1" applyFont="1"/>
    <xf numFmtId="43" fontId="17" fillId="0" borderId="0" xfId="0" applyNumberFormat="1" applyFont="1"/>
    <xf numFmtId="165" fontId="3" fillId="34" borderId="14" xfId="40" applyNumberFormat="1" applyFont="1" applyFill="1" applyBorder="1"/>
    <xf numFmtId="165" fontId="3" fillId="34" borderId="16" xfId="40" applyNumberFormat="1" applyFont="1" applyFill="1" applyBorder="1"/>
    <xf numFmtId="179" fontId="3" fillId="38" borderId="0" xfId="0" applyNumberFormat="1" applyFont="1" applyFill="1"/>
    <xf numFmtId="179" fontId="3" fillId="38" borderId="0" xfId="0" applyNumberFormat="1" applyFont="1" applyFill="1" applyAlignment="1">
      <alignment horizontal="right"/>
    </xf>
    <xf numFmtId="179" fontId="0" fillId="0" borderId="0" xfId="0" applyNumberFormat="1" applyAlignment="1">
      <alignment horizontal="right"/>
    </xf>
    <xf numFmtId="0" fontId="3" fillId="45" borderId="0" xfId="0" applyFont="1" applyFill="1"/>
    <xf numFmtId="0" fontId="44" fillId="45" borderId="0" xfId="0" applyFont="1" applyFill="1"/>
    <xf numFmtId="0" fontId="6" fillId="35" borderId="12" xfId="0" applyFont="1" applyFill="1" applyBorder="1" applyAlignment="1">
      <alignment horizontal="center" vertical="center" wrapText="1"/>
    </xf>
    <xf numFmtId="179" fontId="17" fillId="33" borderId="13" xfId="0" applyNumberFormat="1" applyFont="1" applyFill="1" applyBorder="1"/>
    <xf numFmtId="179" fontId="6" fillId="34" borderId="14" xfId="0" applyNumberFormat="1" applyFont="1" applyFill="1" applyBorder="1"/>
    <xf numFmtId="179" fontId="17" fillId="33" borderId="15" xfId="0" applyNumberFormat="1" applyFont="1" applyFill="1" applyBorder="1"/>
    <xf numFmtId="179" fontId="6" fillId="34" borderId="16" xfId="0" applyNumberFormat="1" applyFont="1" applyFill="1" applyBorder="1"/>
    <xf numFmtId="165" fontId="6" fillId="35" borderId="19" xfId="40" applyNumberFormat="1" applyFont="1" applyFill="1" applyBorder="1"/>
    <xf numFmtId="165" fontId="6" fillId="35" borderId="20" xfId="40" applyNumberFormat="1" applyFont="1" applyFill="1" applyBorder="1"/>
    <xf numFmtId="165" fontId="6" fillId="35" borderId="21" xfId="40" applyNumberFormat="1" applyFont="1" applyFill="1" applyBorder="1"/>
    <xf numFmtId="0" fontId="17" fillId="0" borderId="1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19" xfId="0" applyFont="1" applyBorder="1"/>
    <xf numFmtId="0" fontId="17" fillId="0" borderId="20" xfId="0" applyFont="1" applyBorder="1"/>
    <xf numFmtId="0" fontId="1" fillId="0" borderId="0" xfId="45"/>
    <xf numFmtId="0" fontId="17" fillId="0" borderId="10" xfId="0" applyFont="1" applyBorder="1"/>
    <xf numFmtId="0" fontId="17" fillId="0" borderId="10" xfId="0" applyFont="1" applyBorder="1" applyAlignment="1">
      <alignment horizontal="right"/>
    </xf>
    <xf numFmtId="164" fontId="0" fillId="0" borderId="22" xfId="0" applyNumberFormat="1" applyBorder="1"/>
    <xf numFmtId="9" fontId="0" fillId="0" borderId="22" xfId="40" applyFont="1" applyBorder="1"/>
    <xf numFmtId="9" fontId="0" fillId="0" borderId="0" xfId="40" applyFont="1" applyFill="1" applyBorder="1"/>
    <xf numFmtId="9" fontId="0" fillId="0" borderId="22" xfId="0" applyNumberFormat="1" applyBorder="1"/>
    <xf numFmtId="165" fontId="0" fillId="0" borderId="22" xfId="0" applyNumberFormat="1" applyBorder="1"/>
    <xf numFmtId="165" fontId="17" fillId="0" borderId="13" xfId="40" applyNumberFormat="1" applyFont="1" applyBorder="1"/>
    <xf numFmtId="0" fontId="17" fillId="0" borderId="0" xfId="0" applyFont="1" applyAlignment="1">
      <alignment horizontal="center" vertical="center" wrapText="1"/>
    </xf>
    <xf numFmtId="164" fontId="0" fillId="0" borderId="22" xfId="28" applyNumberFormat="1" applyFont="1" applyBorder="1"/>
    <xf numFmtId="0" fontId="17" fillId="0" borderId="0" xfId="0" applyFont="1" applyAlignment="1">
      <alignment horizontal="center"/>
    </xf>
    <xf numFmtId="0" fontId="19" fillId="46" borderId="12" xfId="0" applyFont="1" applyFill="1" applyBorder="1" applyAlignment="1">
      <alignment horizontal="center"/>
    </xf>
    <xf numFmtId="164" fontId="45" fillId="46" borderId="12" xfId="28" applyNumberFormat="1" applyFont="1" applyFill="1" applyBorder="1" applyAlignment="1">
      <alignment horizontal="right" vertical="center" indent="1"/>
    </xf>
    <xf numFmtId="164" fontId="19" fillId="46" borderId="12" xfId="28" applyNumberFormat="1" applyFont="1" applyFill="1" applyBorder="1" applyAlignment="1">
      <alignment horizontal="center"/>
    </xf>
    <xf numFmtId="0" fontId="0" fillId="0" borderId="12" xfId="0" applyBorder="1" applyAlignment="1">
      <alignment vertical="center"/>
    </xf>
    <xf numFmtId="9" fontId="0" fillId="0" borderId="12" xfId="40" applyFont="1" applyBorder="1" applyAlignment="1">
      <alignment vertical="center"/>
    </xf>
    <xf numFmtId="9" fontId="0" fillId="33" borderId="12" xfId="40" applyFont="1" applyFill="1" applyBorder="1" applyAlignment="1">
      <alignment horizontal="center"/>
    </xf>
    <xf numFmtId="0" fontId="22" fillId="33" borderId="0" xfId="0" applyFont="1" applyFill="1"/>
    <xf numFmtId="0" fontId="17" fillId="33" borderId="0" xfId="0" applyFont="1" applyFill="1"/>
    <xf numFmtId="0" fontId="19" fillId="46" borderId="0" xfId="0" applyFont="1" applyFill="1" applyAlignment="1">
      <alignment horizontal="center"/>
    </xf>
    <xf numFmtId="164" fontId="45" fillId="46" borderId="0" xfId="28" applyNumberFormat="1" applyFont="1" applyFill="1" applyBorder="1" applyAlignment="1">
      <alignment horizontal="right" vertical="center" indent="1"/>
    </xf>
    <xf numFmtId="164" fontId="19" fillId="46" borderId="0" xfId="28" applyNumberFormat="1" applyFont="1" applyFill="1" applyBorder="1" applyAlignment="1">
      <alignment horizontal="center"/>
    </xf>
    <xf numFmtId="0" fontId="17" fillId="33" borderId="0" xfId="0" applyFont="1" applyFill="1" applyAlignment="1">
      <alignment vertical="center"/>
    </xf>
    <xf numFmtId="13" fontId="0" fillId="0" borderId="0" xfId="0" applyNumberFormat="1"/>
    <xf numFmtId="9" fontId="0" fillId="0" borderId="0" xfId="0" applyNumberFormat="1" applyAlignment="1">
      <alignment horizontal="center"/>
    </xf>
    <xf numFmtId="0" fontId="0" fillId="33" borderId="0" xfId="0" applyFill="1"/>
    <xf numFmtId="165" fontId="0" fillId="0" borderId="0" xfId="40" applyNumberFormat="1" applyFont="1" applyFill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38" borderId="10" xfId="0" applyFont="1" applyFill="1" applyBorder="1" applyAlignment="1">
      <alignment horizontal="center"/>
    </xf>
    <xf numFmtId="0" fontId="17" fillId="0" borderId="19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0" borderId="18" xfId="0" applyFont="1" applyBorder="1" applyAlignment="1">
      <alignment horizontal="center"/>
    </xf>
    <xf numFmtId="0" fontId="33" fillId="0" borderId="17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38" borderId="17" xfId="0" applyFont="1" applyFill="1" applyBorder="1" applyAlignment="1">
      <alignment horizontal="center" vertical="center"/>
    </xf>
    <xf numFmtId="0" fontId="35" fillId="38" borderId="11" xfId="0" applyFont="1" applyFill="1" applyBorder="1" applyAlignment="1">
      <alignment horizontal="center" vertical="center"/>
    </xf>
    <xf numFmtId="0" fontId="35" fillId="38" borderId="18" xfId="0" applyFont="1" applyFill="1" applyBorder="1" applyAlignment="1">
      <alignment horizontal="center" vertical="center"/>
    </xf>
    <xf numFmtId="0" fontId="6" fillId="39" borderId="13" xfId="0" applyFont="1" applyFill="1" applyBorder="1" applyAlignment="1">
      <alignment horizontal="center" vertical="center"/>
    </xf>
    <xf numFmtId="0" fontId="6" fillId="39" borderId="0" xfId="0" applyFont="1" applyFill="1" applyAlignment="1">
      <alignment horizontal="center" vertical="center"/>
    </xf>
    <xf numFmtId="0" fontId="6" fillId="39" borderId="0" xfId="0" applyFont="1" applyFill="1" applyAlignment="1">
      <alignment horizontal="center" vertical="center" wrapText="1"/>
    </xf>
    <xf numFmtId="0" fontId="34" fillId="0" borderId="24" xfId="0" applyFont="1" applyBorder="1" applyAlignment="1">
      <alignment vertical="top" wrapText="1"/>
    </xf>
    <xf numFmtId="0" fontId="35" fillId="38" borderId="28" xfId="0" applyFont="1" applyFill="1" applyBorder="1" applyAlignment="1">
      <alignment horizontal="center" vertical="center"/>
    </xf>
    <xf numFmtId="0" fontId="35" fillId="38" borderId="33" xfId="0" applyFont="1" applyFill="1" applyBorder="1" applyAlignment="1">
      <alignment horizontal="center" vertical="center"/>
    </xf>
    <xf numFmtId="0" fontId="35" fillId="38" borderId="35" xfId="0" applyFont="1" applyFill="1" applyBorder="1" applyAlignment="1">
      <alignment horizontal="center" vertical="center"/>
    </xf>
    <xf numFmtId="0" fontId="35" fillId="38" borderId="34" xfId="0" applyFont="1" applyFill="1" applyBorder="1" applyAlignment="1">
      <alignment horizontal="center" vertic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4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5" xr:uid="{735FC66D-48C9-4012-A7E9-456D05A8E68E}"/>
    <cellStyle name="Note" xfId="38" builtinId="10" customBuiltin="1"/>
    <cellStyle name="Output" xfId="39" builtinId="21" customBuiltin="1"/>
    <cellStyle name="Percent" xfId="40" builtinId="5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Weighted Emissions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'EIA-GLOBAL'!$AE$30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'EIA-GLOBAL'!$AD$31:$AD$71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'EIA-GLOBAL'!$AE$31:$AE$71</c:f>
              <c:numCache>
                <c:formatCode>0.00</c:formatCode>
                <c:ptCount val="41"/>
                <c:pt idx="0">
                  <c:v>980.66787379272648</c:v>
                </c:pt>
                <c:pt idx="1">
                  <c:v>1036.2366701657872</c:v>
                </c:pt>
                <c:pt idx="2">
                  <c:v>985.28100442343953</c:v>
                </c:pt>
                <c:pt idx="3">
                  <c:v>1032.4687998973241</c:v>
                </c:pt>
                <c:pt idx="4">
                  <c:v>988.74847238538644</c:v>
                </c:pt>
                <c:pt idx="5">
                  <c:v>965.0593273292676</c:v>
                </c:pt>
                <c:pt idx="6">
                  <c:v>983.47213856374663</c:v>
                </c:pt>
                <c:pt idx="7">
                  <c:v>998.70884178028177</c:v>
                </c:pt>
                <c:pt idx="8">
                  <c:v>1006.8676342315125</c:v>
                </c:pt>
                <c:pt idx="9">
                  <c:v>943.78792444544922</c:v>
                </c:pt>
                <c:pt idx="10">
                  <c:v>877.70567960130086</c:v>
                </c:pt>
                <c:pt idx="11">
                  <c:v>1025.6956163013763</c:v>
                </c:pt>
                <c:pt idx="12">
                  <c:v>954.1779792139622</c:v>
                </c:pt>
                <c:pt idx="13">
                  <c:v>932.44498739742733</c:v>
                </c:pt>
                <c:pt idx="14">
                  <c:v>931.77367188618666</c:v>
                </c:pt>
                <c:pt idx="15">
                  <c:v>929.85376031257488</c:v>
                </c:pt>
                <c:pt idx="16">
                  <c:v>951.59033681435858</c:v>
                </c:pt>
                <c:pt idx="17">
                  <c:v>944.36458435790769</c:v>
                </c:pt>
                <c:pt idx="18">
                  <c:v>945.82363446458987</c:v>
                </c:pt>
                <c:pt idx="19">
                  <c:v>943.38256277956521</c:v>
                </c:pt>
                <c:pt idx="20">
                  <c:v>939.75202022601911</c:v>
                </c:pt>
                <c:pt idx="21">
                  <c:v>958.28963197433268</c:v>
                </c:pt>
                <c:pt idx="22">
                  <c:v>957.20152653533899</c:v>
                </c:pt>
                <c:pt idx="23">
                  <c:v>957.59781421021444</c:v>
                </c:pt>
                <c:pt idx="24">
                  <c:v>956.586547383523</c:v>
                </c:pt>
                <c:pt idx="25">
                  <c:v>953.97446784080296</c:v>
                </c:pt>
                <c:pt idx="26">
                  <c:v>954.37154065660252</c:v>
                </c:pt>
                <c:pt idx="27">
                  <c:v>952.2644020582344</c:v>
                </c:pt>
                <c:pt idx="28">
                  <c:v>950.16387870175549</c:v>
                </c:pt>
                <c:pt idx="29">
                  <c:v>950.41267826406317</c:v>
                </c:pt>
                <c:pt idx="30">
                  <c:v>949.74335948803787</c:v>
                </c:pt>
                <c:pt idx="31">
                  <c:v>948.49107380276871</c:v>
                </c:pt>
                <c:pt idx="32">
                  <c:v>947.71875018165827</c:v>
                </c:pt>
                <c:pt idx="33">
                  <c:v>945.69140845634979</c:v>
                </c:pt>
                <c:pt idx="34">
                  <c:v>944.68103998552601</c:v>
                </c:pt>
                <c:pt idx="35">
                  <c:v>942.60313664135924</c:v>
                </c:pt>
                <c:pt idx="36">
                  <c:v>934.4611793128197</c:v>
                </c:pt>
                <c:pt idx="37">
                  <c:v>932.84524789820443</c:v>
                </c:pt>
                <c:pt idx="38">
                  <c:v>931.49138831534788</c:v>
                </c:pt>
                <c:pt idx="39">
                  <c:v>929.72082409455243</c:v>
                </c:pt>
                <c:pt idx="40">
                  <c:v>927.5620110227535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4-4C12-897B-983E5274C25C}"/>
            </c:ext>
          </c:extLst>
        </c:ser>
        <c:ser>
          <c:idx val="1"/>
          <c:order val="1"/>
          <c:tx>
            <c:strRef>
              <c:f>'EIA-GLOBAL'!$AF$30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'EIA-GLOBAL'!$AD$31:$AD$71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'EIA-GLOBAL'!$AF$31:$AF$71</c:f>
              <c:numCache>
                <c:formatCode>0.00</c:formatCode>
                <c:ptCount val="41"/>
                <c:pt idx="0">
                  <c:v>4.6846186316948302</c:v>
                </c:pt>
                <c:pt idx="1">
                  <c:v>4.7553096057847606</c:v>
                </c:pt>
                <c:pt idx="2">
                  <c:v>4.698778614341041</c:v>
                </c:pt>
                <c:pt idx="3">
                  <c:v>4.6130717754308614</c:v>
                </c:pt>
                <c:pt idx="4">
                  <c:v>4.4682129046187118</c:v>
                </c:pt>
                <c:pt idx="5">
                  <c:v>4.7637756932837139</c:v>
                </c:pt>
                <c:pt idx="6">
                  <c:v>5.0740329560271471</c:v>
                </c:pt>
                <c:pt idx="7">
                  <c:v>5.1726375174095889</c:v>
                </c:pt>
                <c:pt idx="8">
                  <c:v>5.2870154763891613</c:v>
                </c:pt>
                <c:pt idx="9">
                  <c:v>5.3689600258198453</c:v>
                </c:pt>
                <c:pt idx="10">
                  <c:v>5.8063626197040934</c:v>
                </c:pt>
                <c:pt idx="11">
                  <c:v>6.3748790910295172</c:v>
                </c:pt>
                <c:pt idx="12">
                  <c:v>6.1152761347154971</c:v>
                </c:pt>
                <c:pt idx="13">
                  <c:v>6.3479114857947492</c:v>
                </c:pt>
                <c:pt idx="14">
                  <c:v>6.6486125042399777</c:v>
                </c:pt>
                <c:pt idx="15">
                  <c:v>7.0254645058448544</c:v>
                </c:pt>
                <c:pt idx="16">
                  <c:v>7.3578455919443888</c:v>
                </c:pt>
                <c:pt idx="17">
                  <c:v>7.4861395859142847</c:v>
                </c:pt>
                <c:pt idx="18">
                  <c:v>7.6251715765761769</c:v>
                </c:pt>
                <c:pt idx="19">
                  <c:v>7.7575801787837051</c:v>
                </c:pt>
                <c:pt idx="20">
                  <c:v>7.8717639877439725</c:v>
                </c:pt>
                <c:pt idx="21">
                  <c:v>7.9334788828536302</c:v>
                </c:pt>
                <c:pt idx="22">
                  <c:v>7.8252699676755677</c:v>
                </c:pt>
                <c:pt idx="23">
                  <c:v>7.7182641481469014</c:v>
                </c:pt>
                <c:pt idx="24">
                  <c:v>7.6059758832127198</c:v>
                </c:pt>
                <c:pt idx="25">
                  <c:v>7.4784117024605452</c:v>
                </c:pt>
                <c:pt idx="26">
                  <c:v>7.3985020225474205</c:v>
                </c:pt>
                <c:pt idx="27">
                  <c:v>7.3214447337501722</c:v>
                </c:pt>
                <c:pt idx="28">
                  <c:v>7.2632475368603195</c:v>
                </c:pt>
                <c:pt idx="29">
                  <c:v>7.2084794275195376</c:v>
                </c:pt>
                <c:pt idx="30">
                  <c:v>7.146463693020582</c:v>
                </c:pt>
                <c:pt idx="31">
                  <c:v>7.0864969961111051</c:v>
                </c:pt>
                <c:pt idx="32">
                  <c:v>7.0377039840445947</c:v>
                </c:pt>
                <c:pt idx="33">
                  <c:v>6.995554535493941</c:v>
                </c:pt>
                <c:pt idx="34">
                  <c:v>6.9517273210709751</c:v>
                </c:pt>
                <c:pt idx="35">
                  <c:v>6.9061775167966797</c:v>
                </c:pt>
                <c:pt idx="36">
                  <c:v>6.8873644949251158</c:v>
                </c:pt>
                <c:pt idx="37">
                  <c:v>6.919066369726341</c:v>
                </c:pt>
                <c:pt idx="38">
                  <c:v>6.9567968162143803</c:v>
                </c:pt>
                <c:pt idx="39">
                  <c:v>6.9939889650506979</c:v>
                </c:pt>
                <c:pt idx="40">
                  <c:v>7.0352461682660303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4-4C12-897B-983E5274C25C}"/>
            </c:ext>
          </c:extLst>
        </c:ser>
        <c:ser>
          <c:idx val="2"/>
          <c:order val="2"/>
          <c:tx>
            <c:strRef>
              <c:f>'EIA-GLOBAL'!$AG$30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'EIA-GLOBAL'!$AD$31:$AD$71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'EIA-GLOBAL'!$AG$31:$AG$71</c:f>
              <c:numCache>
                <c:formatCode>0.00</c:formatCode>
                <c:ptCount val="41"/>
                <c:pt idx="0">
                  <c:v>8.1243128881308149E-2</c:v>
                </c:pt>
                <c:pt idx="1">
                  <c:v>7.3659166703783155E-2</c:v>
                </c:pt>
                <c:pt idx="2">
                  <c:v>6.8281881216707474E-2</c:v>
                </c:pt>
                <c:pt idx="3">
                  <c:v>6.5443620019347726E-2</c:v>
                </c:pt>
                <c:pt idx="4">
                  <c:v>6.6160768135509709E-2</c:v>
                </c:pt>
                <c:pt idx="5">
                  <c:v>6.8034576244247066E-2</c:v>
                </c:pt>
                <c:pt idx="6">
                  <c:v>6.8480866140834804E-2</c:v>
                </c:pt>
                <c:pt idx="7">
                  <c:v>6.7091388829282256E-2</c:v>
                </c:pt>
                <c:pt idx="8">
                  <c:v>6.6701142922670556E-2</c:v>
                </c:pt>
                <c:pt idx="9">
                  <c:v>7.2573809632629244E-2</c:v>
                </c:pt>
                <c:pt idx="10">
                  <c:v>7.9429261567041234E-2</c:v>
                </c:pt>
                <c:pt idx="11">
                  <c:v>7.7052372505077224E-2</c:v>
                </c:pt>
                <c:pt idx="12">
                  <c:v>7.8726039708884574E-2</c:v>
                </c:pt>
                <c:pt idx="13">
                  <c:v>8.3182453122271391E-2</c:v>
                </c:pt>
                <c:pt idx="14">
                  <c:v>8.7353292022636184E-2</c:v>
                </c:pt>
                <c:pt idx="15">
                  <c:v>9.1253582278095366E-2</c:v>
                </c:pt>
                <c:pt idx="16">
                  <c:v>9.0399754317447442E-2</c:v>
                </c:pt>
                <c:pt idx="17">
                  <c:v>9.2367687082722874E-2</c:v>
                </c:pt>
                <c:pt idx="18">
                  <c:v>9.4513744927450363E-2</c:v>
                </c:pt>
                <c:pt idx="19">
                  <c:v>9.6198651301426477E-2</c:v>
                </c:pt>
                <c:pt idx="20">
                  <c:v>9.8620675753663553E-2</c:v>
                </c:pt>
                <c:pt idx="21">
                  <c:v>9.8819729231926334E-2</c:v>
                </c:pt>
                <c:pt idx="22">
                  <c:v>9.9006681153420817E-2</c:v>
                </c:pt>
                <c:pt idx="23">
                  <c:v>9.8767991983273101E-2</c:v>
                </c:pt>
                <c:pt idx="24">
                  <c:v>9.8247132534955331E-2</c:v>
                </c:pt>
                <c:pt idx="25">
                  <c:v>9.8481058798528157E-2</c:v>
                </c:pt>
                <c:pt idx="26">
                  <c:v>9.7576614477985366E-2</c:v>
                </c:pt>
                <c:pt idx="27">
                  <c:v>9.699549347641985E-2</c:v>
                </c:pt>
                <c:pt idx="28">
                  <c:v>9.6513253537644408E-2</c:v>
                </c:pt>
                <c:pt idx="29">
                  <c:v>9.5898852766070145E-2</c:v>
                </c:pt>
                <c:pt idx="30">
                  <c:v>9.5001859440929134E-2</c:v>
                </c:pt>
                <c:pt idx="31">
                  <c:v>9.3709993851889356E-2</c:v>
                </c:pt>
                <c:pt idx="32">
                  <c:v>9.2389251108810397E-2</c:v>
                </c:pt>
                <c:pt idx="33">
                  <c:v>9.1166435808140392E-2</c:v>
                </c:pt>
                <c:pt idx="34">
                  <c:v>8.9942650533668372E-2</c:v>
                </c:pt>
                <c:pt idx="35">
                  <c:v>8.8817896735638099E-2</c:v>
                </c:pt>
                <c:pt idx="36">
                  <c:v>8.8765558095554253E-2</c:v>
                </c:pt>
                <c:pt idx="37">
                  <c:v>8.847132980663025E-2</c:v>
                </c:pt>
                <c:pt idx="38">
                  <c:v>8.8365482418855432E-2</c:v>
                </c:pt>
                <c:pt idx="39">
                  <c:v>8.8266129869989843E-2</c:v>
                </c:pt>
                <c:pt idx="40">
                  <c:v>8.8209283383205994E-2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4-4C12-897B-983E5274C25C}"/>
            </c:ext>
          </c:extLst>
        </c:ser>
        <c:ser>
          <c:idx val="3"/>
          <c:order val="3"/>
          <c:tx>
            <c:strRef>
              <c:f>'EIA-GLOBAL'!$AH$30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'EIA-GLOBAL'!$AD$31:$AD$71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'EIA-GLOBAL'!$AH$31:$AH$71</c:f>
              <c:numCache>
                <c:formatCode>0.00</c:formatCode>
                <c:ptCount val="41"/>
                <c:pt idx="0">
                  <c:v>6.5763383771855555E-3</c:v>
                </c:pt>
                <c:pt idx="1">
                  <c:v>6.6930908319422881E-3</c:v>
                </c:pt>
                <c:pt idx="2">
                  <c:v>6.6316259433194628E-3</c:v>
                </c:pt>
                <c:pt idx="3">
                  <c:v>6.8384361158383648E-3</c:v>
                </c:pt>
                <c:pt idx="4">
                  <c:v>6.6232376496476097E-3</c:v>
                </c:pt>
                <c:pt idx="5">
                  <c:v>6.5961186992985251E-3</c:v>
                </c:pt>
                <c:pt idx="6">
                  <c:v>6.9515645830298982E-3</c:v>
                </c:pt>
                <c:pt idx="7">
                  <c:v>7.2252132922631523E-3</c:v>
                </c:pt>
                <c:pt idx="8">
                  <c:v>7.3179572215797779E-3</c:v>
                </c:pt>
                <c:pt idx="9">
                  <c:v>6.7399787806896889E-3</c:v>
                </c:pt>
                <c:pt idx="10">
                  <c:v>6.8748903134977883E-3</c:v>
                </c:pt>
                <c:pt idx="11">
                  <c:v>7.8794885221268388E-3</c:v>
                </c:pt>
                <c:pt idx="12">
                  <c:v>7.6656072063413586E-3</c:v>
                </c:pt>
                <c:pt idx="13">
                  <c:v>7.9964426978939573E-3</c:v>
                </c:pt>
                <c:pt idx="14">
                  <c:v>8.4918876948903745E-3</c:v>
                </c:pt>
                <c:pt idx="15">
                  <c:v>8.9914364477882858E-3</c:v>
                </c:pt>
                <c:pt idx="16">
                  <c:v>9.4104116962474456E-3</c:v>
                </c:pt>
                <c:pt idx="17">
                  <c:v>9.6034281728672923E-3</c:v>
                </c:pt>
                <c:pt idx="18">
                  <c:v>9.8512380000388752E-3</c:v>
                </c:pt>
                <c:pt idx="19">
                  <c:v>1.006781025644927E-2</c:v>
                </c:pt>
                <c:pt idx="20">
                  <c:v>1.0291972774722859E-2</c:v>
                </c:pt>
                <c:pt idx="21">
                  <c:v>1.0469590566982399E-2</c:v>
                </c:pt>
                <c:pt idx="22">
                  <c:v>1.043291231227945E-2</c:v>
                </c:pt>
                <c:pt idx="23">
                  <c:v>1.0397502417310533E-2</c:v>
                </c:pt>
                <c:pt idx="24">
                  <c:v>1.0347977672855065E-2</c:v>
                </c:pt>
                <c:pt idx="25">
                  <c:v>1.0300262673155279E-2</c:v>
                </c:pt>
                <c:pt idx="26">
                  <c:v>1.0270977312363098E-2</c:v>
                </c:pt>
                <c:pt idx="27">
                  <c:v>1.0226039353710805E-2</c:v>
                </c:pt>
                <c:pt idx="28">
                  <c:v>1.0191594035360392E-2</c:v>
                </c:pt>
                <c:pt idx="29">
                  <c:v>1.0167257816600363E-2</c:v>
                </c:pt>
                <c:pt idx="30">
                  <c:v>1.0129021568022319E-2</c:v>
                </c:pt>
                <c:pt idx="31">
                  <c:v>1.0080252937250856E-2</c:v>
                </c:pt>
                <c:pt idx="32">
                  <c:v>1.003211279374969E-2</c:v>
                </c:pt>
                <c:pt idx="33">
                  <c:v>9.9804201392441356E-3</c:v>
                </c:pt>
                <c:pt idx="34">
                  <c:v>9.9367944653837494E-3</c:v>
                </c:pt>
                <c:pt idx="35">
                  <c:v>9.893049441803678E-3</c:v>
                </c:pt>
                <c:pt idx="36">
                  <c:v>9.8892953879153138E-3</c:v>
                </c:pt>
                <c:pt idx="37">
                  <c:v>9.9519636715926004E-3</c:v>
                </c:pt>
                <c:pt idx="38">
                  <c:v>1.0013043166883555E-2</c:v>
                </c:pt>
                <c:pt idx="39">
                  <c:v>1.0069392799185296E-2</c:v>
                </c:pt>
                <c:pt idx="40">
                  <c:v>1.0126145815081557E-2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B4-4C12-897B-983E5274C25C}"/>
            </c:ext>
          </c:extLst>
        </c:ser>
        <c:ser>
          <c:idx val="4"/>
          <c:order val="4"/>
          <c:tx>
            <c:strRef>
              <c:f>'EIA-GLOBAL'!$AI$30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'EIA-GLOBAL'!$AD$31:$AD$71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'EIA-GLOBAL'!$AI$31:$AI$71</c:f>
              <c:numCache>
                <c:formatCode>0.00</c:formatCode>
                <c:ptCount val="41"/>
                <c:pt idx="0">
                  <c:v>4.9533975788835002E-3</c:v>
                </c:pt>
                <c:pt idx="1">
                  <c:v>9.7850078551884739E-3</c:v>
                </c:pt>
                <c:pt idx="2">
                  <c:v>1.4520157120317723E-2</c:v>
                </c:pt>
                <c:pt idx="3">
                  <c:v>2.0439445491376513E-2</c:v>
                </c:pt>
                <c:pt idx="4">
                  <c:v>2.670260906338395E-2</c:v>
                </c:pt>
                <c:pt idx="5">
                  <c:v>3.4782530494889843E-2</c:v>
                </c:pt>
                <c:pt idx="6">
                  <c:v>4.638285527821584E-2</c:v>
                </c:pt>
                <c:pt idx="7">
                  <c:v>6.3831436808299863E-2</c:v>
                </c:pt>
                <c:pt idx="8">
                  <c:v>7.7784540703809746E-2</c:v>
                </c:pt>
                <c:pt idx="9">
                  <c:v>0.10292214632026783</c:v>
                </c:pt>
                <c:pt idx="10">
                  <c:v>0.1085390328150149</c:v>
                </c:pt>
                <c:pt idx="11">
                  <c:v>0.19951600891050422</c:v>
                </c:pt>
                <c:pt idx="12">
                  <c:v>0.22003422627607036</c:v>
                </c:pt>
                <c:pt idx="13">
                  <c:v>0.25257837888098417</c:v>
                </c:pt>
                <c:pt idx="14">
                  <c:v>0.2934562775774307</c:v>
                </c:pt>
                <c:pt idx="15">
                  <c:v>0.33898857457861914</c:v>
                </c:pt>
                <c:pt idx="16">
                  <c:v>0.39538256732036348</c:v>
                </c:pt>
                <c:pt idx="17">
                  <c:v>0.44239739019330548</c:v>
                </c:pt>
                <c:pt idx="18">
                  <c:v>0.48953952268134682</c:v>
                </c:pt>
                <c:pt idx="19">
                  <c:v>0.53763320423524663</c:v>
                </c:pt>
                <c:pt idx="20">
                  <c:v>0.5853077244734205</c:v>
                </c:pt>
                <c:pt idx="21">
                  <c:v>0.63326967208721319</c:v>
                </c:pt>
                <c:pt idx="22">
                  <c:v>0.66927241322313602</c:v>
                </c:pt>
                <c:pt idx="23">
                  <c:v>0.70485299294211545</c:v>
                </c:pt>
                <c:pt idx="24">
                  <c:v>0.73751152053330293</c:v>
                </c:pt>
                <c:pt idx="25">
                  <c:v>0.77049004309629598</c:v>
                </c:pt>
                <c:pt idx="26">
                  <c:v>0.80886494137335307</c:v>
                </c:pt>
                <c:pt idx="27">
                  <c:v>0.84510015455528298</c:v>
                </c:pt>
                <c:pt idx="28">
                  <c:v>0.88167248909532037</c:v>
                </c:pt>
                <c:pt idx="29">
                  <c:v>0.9174281145722768</c:v>
                </c:pt>
                <c:pt idx="30">
                  <c:v>0.95117994688500462</c:v>
                </c:pt>
                <c:pt idx="31">
                  <c:v>0.994128640267671</c:v>
                </c:pt>
                <c:pt idx="32">
                  <c:v>1.0353295284007067</c:v>
                </c:pt>
                <c:pt idx="33">
                  <c:v>1.0751925229241528</c:v>
                </c:pt>
                <c:pt idx="34">
                  <c:v>1.1155081786227843</c:v>
                </c:pt>
                <c:pt idx="35">
                  <c:v>1.155978137027714</c:v>
                </c:pt>
                <c:pt idx="36">
                  <c:v>1.2039157743932907</c:v>
                </c:pt>
                <c:pt idx="37">
                  <c:v>1.2596513725343887</c:v>
                </c:pt>
                <c:pt idx="38">
                  <c:v>1.313132263731718</c:v>
                </c:pt>
                <c:pt idx="39">
                  <c:v>1.3659397168325356</c:v>
                </c:pt>
                <c:pt idx="40">
                  <c:v>1.4186115232790022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B4-4C12-897B-983E5274C25C}"/>
            </c:ext>
          </c:extLst>
        </c:ser>
        <c:ser>
          <c:idx val="5"/>
          <c:order val="5"/>
          <c:tx>
            <c:strRef>
              <c:f>'EIA-GLOBAL'!$AJ$30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'EIA-GLOBAL'!$AD$31:$AD$71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'EIA-GLOBAL'!$AJ$31:$AJ$71</c:f>
              <c:numCache>
                <c:formatCode>0.00</c:formatCode>
                <c:ptCount val="41"/>
                <c:pt idx="0">
                  <c:v>5.9023075224410764E-3</c:v>
                </c:pt>
                <c:pt idx="1">
                  <c:v>7.5507383648656546E-3</c:v>
                </c:pt>
                <c:pt idx="2">
                  <c:v>8.5795951144187546E-3</c:v>
                </c:pt>
                <c:pt idx="3">
                  <c:v>1.0551907985696191E-2</c:v>
                </c:pt>
                <c:pt idx="4">
                  <c:v>1.1126725782379847E-2</c:v>
                </c:pt>
                <c:pt idx="5">
                  <c:v>1.2794493623390291E-2</c:v>
                </c:pt>
                <c:pt idx="6">
                  <c:v>1.5002051250708769E-2</c:v>
                </c:pt>
                <c:pt idx="7">
                  <c:v>1.8101034469414478E-2</c:v>
                </c:pt>
                <c:pt idx="8">
                  <c:v>1.9952619479706037E-2</c:v>
                </c:pt>
                <c:pt idx="9">
                  <c:v>2.5275634611110064E-2</c:v>
                </c:pt>
                <c:pt idx="10">
                  <c:v>2.6707433728656089E-2</c:v>
                </c:pt>
                <c:pt idx="11">
                  <c:v>3.3399548863346402E-2</c:v>
                </c:pt>
                <c:pt idx="12">
                  <c:v>3.4321196866107614E-2</c:v>
                </c:pt>
                <c:pt idx="13">
                  <c:v>3.8601810404646539E-2</c:v>
                </c:pt>
                <c:pt idx="14">
                  <c:v>4.4609991745389606E-2</c:v>
                </c:pt>
                <c:pt idx="15">
                  <c:v>4.9297084412935982E-2</c:v>
                </c:pt>
                <c:pt idx="16">
                  <c:v>5.3601857461457764E-2</c:v>
                </c:pt>
                <c:pt idx="17">
                  <c:v>5.6713533285781333E-2</c:v>
                </c:pt>
                <c:pt idx="18">
                  <c:v>6.0289559909639405E-2</c:v>
                </c:pt>
                <c:pt idx="19">
                  <c:v>6.3621108773220025E-2</c:v>
                </c:pt>
                <c:pt idx="20">
                  <c:v>6.7445223210989169E-2</c:v>
                </c:pt>
                <c:pt idx="21">
                  <c:v>7.1753794372968749E-2</c:v>
                </c:pt>
                <c:pt idx="22">
                  <c:v>7.449244409942013E-2</c:v>
                </c:pt>
                <c:pt idx="23">
                  <c:v>7.7182753514018959E-2</c:v>
                </c:pt>
                <c:pt idx="24">
                  <c:v>8.0009362917605839E-2</c:v>
                </c:pt>
                <c:pt idx="25">
                  <c:v>8.2957662435213991E-2</c:v>
                </c:pt>
                <c:pt idx="26">
                  <c:v>8.5979598074137409E-2</c:v>
                </c:pt>
                <c:pt idx="27">
                  <c:v>8.8658518673956146E-2</c:v>
                </c:pt>
                <c:pt idx="28">
                  <c:v>9.1369328904024813E-2</c:v>
                </c:pt>
                <c:pt idx="29">
                  <c:v>9.4102239867156573E-2</c:v>
                </c:pt>
                <c:pt idx="30">
                  <c:v>9.6665055435134054E-2</c:v>
                </c:pt>
                <c:pt idx="31">
                  <c:v>9.8780540970527797E-2</c:v>
                </c:pt>
                <c:pt idx="32">
                  <c:v>0.10081098302628441</c:v>
                </c:pt>
                <c:pt idx="33">
                  <c:v>0.10281307097572831</c:v>
                </c:pt>
                <c:pt idx="34">
                  <c:v>0.1049002162549566</c:v>
                </c:pt>
                <c:pt idx="35">
                  <c:v>0.1069320581641762</c:v>
                </c:pt>
                <c:pt idx="36">
                  <c:v>0.10743026527363606</c:v>
                </c:pt>
                <c:pt idx="37">
                  <c:v>0.10867141064910613</c:v>
                </c:pt>
                <c:pt idx="38">
                  <c:v>0.1098406213191295</c:v>
                </c:pt>
                <c:pt idx="39">
                  <c:v>0.11102422785674262</c:v>
                </c:pt>
                <c:pt idx="40">
                  <c:v>0.11224833387252492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B4-4C12-897B-983E5274C25C}"/>
            </c:ext>
          </c:extLst>
        </c:ser>
        <c:ser>
          <c:idx val="6"/>
          <c:order val="6"/>
          <c:tx>
            <c:strRef>
              <c:f>'EIA-GLOBAL'!$AK$30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'EIA-GLOBAL'!$AD$31:$AD$71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'EIA-GLOBAL'!$AK$31:$AK$71</c:f>
              <c:numCache>
                <c:formatCode>0.00</c:formatCode>
                <c:ptCount val="41"/>
                <c:pt idx="0">
                  <c:v>5.3426227878629065E-2</c:v>
                </c:pt>
                <c:pt idx="1">
                  <c:v>5.7875805313711379E-2</c:v>
                </c:pt>
                <c:pt idx="2">
                  <c:v>5.8745759083712185E-2</c:v>
                </c:pt>
                <c:pt idx="3">
                  <c:v>5.8218694047012659E-2</c:v>
                </c:pt>
                <c:pt idx="4">
                  <c:v>5.5556240831062031E-2</c:v>
                </c:pt>
                <c:pt idx="5">
                  <c:v>5.4951304653338064E-2</c:v>
                </c:pt>
                <c:pt idx="6">
                  <c:v>5.5207386243741871E-2</c:v>
                </c:pt>
                <c:pt idx="7">
                  <c:v>5.1665745150083923E-2</c:v>
                </c:pt>
                <c:pt idx="8">
                  <c:v>4.9914124786879871E-2</c:v>
                </c:pt>
                <c:pt idx="9">
                  <c:v>3.670178638284502E-2</c:v>
                </c:pt>
                <c:pt idx="10">
                  <c:v>3.7048348906415549E-2</c:v>
                </c:pt>
                <c:pt idx="11">
                  <c:v>4.1283500687867111E-2</c:v>
                </c:pt>
                <c:pt idx="12">
                  <c:v>3.9744617034556701E-2</c:v>
                </c:pt>
                <c:pt idx="13">
                  <c:v>4.0971919483767924E-2</c:v>
                </c:pt>
                <c:pt idx="14">
                  <c:v>4.3144446798892511E-2</c:v>
                </c:pt>
                <c:pt idx="15">
                  <c:v>4.5329911053420879E-2</c:v>
                </c:pt>
                <c:pt idx="16">
                  <c:v>4.4906483113125673E-2</c:v>
                </c:pt>
                <c:pt idx="17">
                  <c:v>4.3302610384131857E-2</c:v>
                </c:pt>
                <c:pt idx="18">
                  <c:v>4.1894370588856505E-2</c:v>
                </c:pt>
                <c:pt idx="19">
                  <c:v>4.0302609945808844E-2</c:v>
                </c:pt>
                <c:pt idx="20">
                  <c:v>3.8730016513499992E-2</c:v>
                </c:pt>
                <c:pt idx="21">
                  <c:v>3.8677094981316766E-2</c:v>
                </c:pt>
                <c:pt idx="22">
                  <c:v>3.7815884509106938E-2</c:v>
                </c:pt>
                <c:pt idx="23">
                  <c:v>3.7018229731444835E-2</c:v>
                </c:pt>
                <c:pt idx="24">
                  <c:v>3.6165767666868416E-2</c:v>
                </c:pt>
                <c:pt idx="25">
                  <c:v>3.5341229502314511E-2</c:v>
                </c:pt>
                <c:pt idx="26">
                  <c:v>3.519134886715089E-2</c:v>
                </c:pt>
                <c:pt idx="27">
                  <c:v>3.4995419305991489E-2</c:v>
                </c:pt>
                <c:pt idx="28">
                  <c:v>3.4807543584409531E-2</c:v>
                </c:pt>
                <c:pt idx="29">
                  <c:v>3.4659988728412347E-2</c:v>
                </c:pt>
                <c:pt idx="30">
                  <c:v>3.4466340657939881E-2</c:v>
                </c:pt>
                <c:pt idx="31">
                  <c:v>3.4444945933639531E-2</c:v>
                </c:pt>
                <c:pt idx="32">
                  <c:v>3.4417668292697177E-2</c:v>
                </c:pt>
                <c:pt idx="33">
                  <c:v>3.4367812982599222E-2</c:v>
                </c:pt>
                <c:pt idx="34">
                  <c:v>3.4350754309460364E-2</c:v>
                </c:pt>
                <c:pt idx="35">
                  <c:v>3.4315675176778117E-2</c:v>
                </c:pt>
                <c:pt idx="36">
                  <c:v>3.4473591112492701E-2</c:v>
                </c:pt>
                <c:pt idx="37">
                  <c:v>3.4882504107829101E-2</c:v>
                </c:pt>
                <c:pt idx="38">
                  <c:v>3.5276586659578571E-2</c:v>
                </c:pt>
                <c:pt idx="39">
                  <c:v>3.5632294570852666E-2</c:v>
                </c:pt>
                <c:pt idx="40">
                  <c:v>3.5965112767833846E-2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B4-4C12-897B-983E5274C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782492831"/>
        <c:axId val="1346861263"/>
      </c:barChart>
      <c:catAx>
        <c:axId val="17824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6861263"/>
        <c:crosses val="autoZero"/>
        <c:auto val="1"/>
        <c:lblAlgn val="ctr"/>
        <c:lblOffset val="100"/>
        <c:noMultiLvlLbl val="0"/>
      </c:catAx>
      <c:valAx>
        <c:axId val="13468612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249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 of CO2 Prduced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'EIA-GLOBAL'!$V$30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'EIA-GLOBAL'!$U$31:$U$71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'EIA-GLOBAL'!$V$31:$V$71</c:f>
              <c:numCache>
                <c:formatCode>0%</c:formatCode>
                <c:ptCount val="41"/>
                <c:pt idx="0" formatCode="0.0%">
                  <c:v>0.97968818560711934</c:v>
                </c:pt>
                <c:pt idx="1">
                  <c:v>1.0352014686970901</c:v>
                </c:pt>
                <c:pt idx="2">
                  <c:v>0.98429670771572375</c:v>
                </c:pt>
                <c:pt idx="3">
                  <c:v>1.0314373625347892</c:v>
                </c:pt>
                <c:pt idx="4">
                  <c:v>0.98776071167371271</c:v>
                </c:pt>
                <c:pt idx="5">
                  <c:v>0.96409523209717041</c:v>
                </c:pt>
                <c:pt idx="6">
                  <c:v>0.98248964891483181</c:v>
                </c:pt>
                <c:pt idx="7">
                  <c:v>0.99771113064963213</c:v>
                </c:pt>
                <c:pt idx="8">
                  <c:v>1.0058617724590535</c:v>
                </c:pt>
                <c:pt idx="9">
                  <c:v>0.94284507936608319</c:v>
                </c:pt>
                <c:pt idx="10">
                  <c:v>0.87682885075055028</c:v>
                </c:pt>
                <c:pt idx="11">
                  <c:v>1.0246709453560203</c:v>
                </c:pt>
                <c:pt idx="12">
                  <c:v>0.95322475445950272</c:v>
                </c:pt>
                <c:pt idx="13">
                  <c:v>0.93151347392350381</c:v>
                </c:pt>
                <c:pt idx="14">
                  <c:v>0.93084282905712956</c:v>
                </c:pt>
                <c:pt idx="15">
                  <c:v>0.92892483547709781</c:v>
                </c:pt>
                <c:pt idx="16">
                  <c:v>0.95063969711724139</c:v>
                </c:pt>
                <c:pt idx="17">
                  <c:v>0.94342116319471303</c:v>
                </c:pt>
                <c:pt idx="18">
                  <c:v>0.94487875570888102</c:v>
                </c:pt>
                <c:pt idx="19">
                  <c:v>0.94244012265690824</c:v>
                </c:pt>
                <c:pt idx="20">
                  <c:v>0.93881320701900006</c:v>
                </c:pt>
                <c:pt idx="21">
                  <c:v>0.95733229967465805</c:v>
                </c:pt>
                <c:pt idx="22">
                  <c:v>0.95624528125408492</c:v>
                </c:pt>
                <c:pt idx="23">
                  <c:v>0.95664117303717722</c:v>
                </c:pt>
                <c:pt idx="24">
                  <c:v>0.95563091646705589</c:v>
                </c:pt>
                <c:pt idx="25">
                  <c:v>0.95302144639440856</c:v>
                </c:pt>
                <c:pt idx="26">
                  <c:v>0.95341812253406844</c:v>
                </c:pt>
                <c:pt idx="27">
                  <c:v>0.95131308896926514</c:v>
                </c:pt>
                <c:pt idx="28">
                  <c:v>0.94921466403771781</c:v>
                </c:pt>
                <c:pt idx="29">
                  <c:v>0.94946321504901421</c:v>
                </c:pt>
                <c:pt idx="30">
                  <c:v>0.94879456492311476</c:v>
                </c:pt>
                <c:pt idx="31">
                  <c:v>0.94754353027249616</c:v>
                </c:pt>
                <c:pt idx="32">
                  <c:v>0.94677197820345482</c:v>
                </c:pt>
                <c:pt idx="33">
                  <c:v>0.94474666179455524</c:v>
                </c:pt>
                <c:pt idx="34">
                  <c:v>0.94373730268284317</c:v>
                </c:pt>
                <c:pt idx="35">
                  <c:v>0.94166147516619303</c:v>
                </c:pt>
                <c:pt idx="36">
                  <c:v>0.93352765166115859</c:v>
                </c:pt>
                <c:pt idx="37">
                  <c:v>0.93191333456364078</c:v>
                </c:pt>
                <c:pt idx="38">
                  <c:v>0.93056082748786006</c:v>
                </c:pt>
                <c:pt idx="39">
                  <c:v>0.92879203206248995</c:v>
                </c:pt>
                <c:pt idx="40">
                  <c:v>0.92663537564710641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7-4035-AC92-503062B87FB2}"/>
            </c:ext>
          </c:extLst>
        </c:ser>
        <c:ser>
          <c:idx val="1"/>
          <c:order val="1"/>
          <c:tx>
            <c:strRef>
              <c:f>'EIA-GLOBAL'!$W$30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'EIA-GLOBAL'!$U$31:$U$71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'EIA-GLOBAL'!$W$31:$W$71</c:f>
              <c:numCache>
                <c:formatCode>0.0%</c:formatCode>
                <c:ptCount val="41"/>
                <c:pt idx="0">
                  <c:v>9.9885258671531564E-3</c:v>
                </c:pt>
                <c:pt idx="1">
                  <c:v>1.0139252890799063E-2</c:v>
                </c:pt>
                <c:pt idx="2">
                  <c:v>1.0018717727806058E-2</c:v>
                </c:pt>
                <c:pt idx="3">
                  <c:v>9.8359739348206007E-3</c:v>
                </c:pt>
                <c:pt idx="4">
                  <c:v>9.5271064064364856E-3</c:v>
                </c:pt>
                <c:pt idx="5">
                  <c:v>1.0157304250071884E-2</c:v>
                </c:pt>
                <c:pt idx="6">
                  <c:v>1.0818833594940612E-2</c:v>
                </c:pt>
                <c:pt idx="7">
                  <c:v>1.1029077862280573E-2</c:v>
                </c:pt>
                <c:pt idx="8">
                  <c:v>1.1272954107439576E-2</c:v>
                </c:pt>
                <c:pt idx="9">
                  <c:v>1.1447675961236343E-2</c:v>
                </c:pt>
                <c:pt idx="10">
                  <c:v>1.23803040931857E-2</c:v>
                </c:pt>
                <c:pt idx="11">
                  <c:v>1.359249273140622E-2</c:v>
                </c:pt>
                <c:pt idx="12">
                  <c:v>1.3038968304297436E-2</c:v>
                </c:pt>
                <c:pt idx="13">
                  <c:v>1.3534992507025051E-2</c:v>
                </c:pt>
                <c:pt idx="14">
                  <c:v>1.4176146064477564E-2</c:v>
                </c:pt>
                <c:pt idx="15">
                  <c:v>1.4979668455959178E-2</c:v>
                </c:pt>
                <c:pt idx="16">
                  <c:v>1.5688370132077589E-2</c:v>
                </c:pt>
                <c:pt idx="17">
                  <c:v>1.596191809363387E-2</c:v>
                </c:pt>
                <c:pt idx="18">
                  <c:v>1.6258361570524897E-2</c:v>
                </c:pt>
                <c:pt idx="19">
                  <c:v>1.6540682683973785E-2</c:v>
                </c:pt>
                <c:pt idx="20">
                  <c:v>1.6784144963206765E-2</c:v>
                </c:pt>
                <c:pt idx="21">
                  <c:v>1.6915733225700703E-2</c:v>
                </c:pt>
                <c:pt idx="22">
                  <c:v>1.6685010592058781E-2</c:v>
                </c:pt>
                <c:pt idx="23">
                  <c:v>1.6456853194343073E-2</c:v>
                </c:pt>
                <c:pt idx="24">
                  <c:v>1.6217432586807506E-2</c:v>
                </c:pt>
                <c:pt idx="25">
                  <c:v>1.594544073019306E-2</c:v>
                </c:pt>
                <c:pt idx="26">
                  <c:v>1.5775057617371899E-2</c:v>
                </c:pt>
                <c:pt idx="27">
                  <c:v>1.5610756361940665E-2</c:v>
                </c:pt>
                <c:pt idx="28">
                  <c:v>1.5486668522090234E-2</c:v>
                </c:pt>
                <c:pt idx="29">
                  <c:v>1.5369892169551253E-2</c:v>
                </c:pt>
                <c:pt idx="30">
                  <c:v>1.5237662458466059E-2</c:v>
                </c:pt>
                <c:pt idx="31">
                  <c:v>1.5109801697465043E-2</c:v>
                </c:pt>
                <c:pt idx="32">
                  <c:v>1.5005765424402122E-2</c:v>
                </c:pt>
                <c:pt idx="33">
                  <c:v>1.4915894531970024E-2</c:v>
                </c:pt>
                <c:pt idx="34">
                  <c:v>1.4822446313584169E-2</c:v>
                </c:pt>
                <c:pt idx="35">
                  <c:v>1.4725325195728528E-2</c:v>
                </c:pt>
                <c:pt idx="36">
                  <c:v>1.4685212142697475E-2</c:v>
                </c:pt>
                <c:pt idx="37">
                  <c:v>1.4752806758478339E-2</c:v>
                </c:pt>
                <c:pt idx="38">
                  <c:v>1.4833255471672453E-2</c:v>
                </c:pt>
                <c:pt idx="39">
                  <c:v>1.4912556428679526E-2</c:v>
                </c:pt>
                <c:pt idx="40">
                  <c:v>1.5000524879032048E-2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7-4035-AC92-503062B87FB2}"/>
            </c:ext>
          </c:extLst>
        </c:ser>
        <c:ser>
          <c:idx val="2"/>
          <c:order val="2"/>
          <c:tx>
            <c:strRef>
              <c:f>'EIA-GLOBAL'!$X$30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'EIA-GLOBAL'!$U$31:$U$71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'EIA-GLOBAL'!$X$31:$X$71</c:f>
              <c:numCache>
                <c:formatCode>0.0%</c:formatCode>
                <c:ptCount val="41"/>
                <c:pt idx="0">
                  <c:v>5.0776955550817593E-3</c:v>
                </c:pt>
                <c:pt idx="1">
                  <c:v>4.6036979189864472E-3</c:v>
                </c:pt>
                <c:pt idx="2">
                  <c:v>4.2676175760442171E-3</c:v>
                </c:pt>
                <c:pt idx="3">
                  <c:v>4.0902262512092329E-3</c:v>
                </c:pt>
                <c:pt idx="4">
                  <c:v>4.1350480084693568E-3</c:v>
                </c:pt>
                <c:pt idx="5">
                  <c:v>4.2521610152654417E-3</c:v>
                </c:pt>
                <c:pt idx="6">
                  <c:v>4.2800541338021752E-3</c:v>
                </c:pt>
                <c:pt idx="7">
                  <c:v>4.193211801830141E-3</c:v>
                </c:pt>
                <c:pt idx="8">
                  <c:v>4.1688214326669098E-3</c:v>
                </c:pt>
                <c:pt idx="9">
                  <c:v>4.5358631020393277E-3</c:v>
                </c:pt>
                <c:pt idx="10">
                  <c:v>4.9643288479400772E-3</c:v>
                </c:pt>
                <c:pt idx="11">
                  <c:v>4.8157732815673265E-3</c:v>
                </c:pt>
                <c:pt idx="12">
                  <c:v>4.9203774818052859E-3</c:v>
                </c:pt>
                <c:pt idx="13">
                  <c:v>5.1989033201419619E-3</c:v>
                </c:pt>
                <c:pt idx="14">
                  <c:v>5.4595807514147615E-3</c:v>
                </c:pt>
                <c:pt idx="15">
                  <c:v>5.7033488923809604E-3</c:v>
                </c:pt>
                <c:pt idx="16">
                  <c:v>5.6499846448404651E-3</c:v>
                </c:pt>
                <c:pt idx="17">
                  <c:v>5.7729804426701796E-3</c:v>
                </c:pt>
                <c:pt idx="18">
                  <c:v>5.9071090579656477E-3</c:v>
                </c:pt>
                <c:pt idx="19">
                  <c:v>6.0124157063391548E-3</c:v>
                </c:pt>
                <c:pt idx="20">
                  <c:v>6.1637922346039721E-3</c:v>
                </c:pt>
                <c:pt idx="21">
                  <c:v>6.1762330769953959E-3</c:v>
                </c:pt>
                <c:pt idx="22">
                  <c:v>6.1879175720888011E-3</c:v>
                </c:pt>
                <c:pt idx="23">
                  <c:v>6.1729994989545688E-3</c:v>
                </c:pt>
                <c:pt idx="24">
                  <c:v>6.1404457834347082E-3</c:v>
                </c:pt>
                <c:pt idx="25">
                  <c:v>6.1550661749080098E-3</c:v>
                </c:pt>
                <c:pt idx="26">
                  <c:v>6.0985384048740853E-3</c:v>
                </c:pt>
                <c:pt idx="27">
                  <c:v>6.0622183422762406E-3</c:v>
                </c:pt>
                <c:pt idx="28">
                  <c:v>6.0320783461027755E-3</c:v>
                </c:pt>
                <c:pt idx="29">
                  <c:v>5.993678297879384E-3</c:v>
                </c:pt>
                <c:pt idx="30">
                  <c:v>5.9376162150580709E-3</c:v>
                </c:pt>
                <c:pt idx="31">
                  <c:v>5.8568746157430848E-3</c:v>
                </c:pt>
                <c:pt idx="32">
                  <c:v>5.7743281943006498E-3</c:v>
                </c:pt>
                <c:pt idx="33">
                  <c:v>5.6979022380087745E-3</c:v>
                </c:pt>
                <c:pt idx="34">
                  <c:v>5.6214156583542733E-3</c:v>
                </c:pt>
                <c:pt idx="35">
                  <c:v>5.5511185459773812E-3</c:v>
                </c:pt>
                <c:pt idx="36">
                  <c:v>5.5478473809721408E-3</c:v>
                </c:pt>
                <c:pt idx="37">
                  <c:v>5.5294581129143906E-3</c:v>
                </c:pt>
                <c:pt idx="38">
                  <c:v>5.5228426511784645E-3</c:v>
                </c:pt>
                <c:pt idx="39">
                  <c:v>5.5166331168743652E-3</c:v>
                </c:pt>
                <c:pt idx="40">
                  <c:v>5.5130802114503746E-3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7-4035-AC92-503062B87FB2}"/>
            </c:ext>
          </c:extLst>
        </c:ser>
        <c:ser>
          <c:idx val="3"/>
          <c:order val="3"/>
          <c:tx>
            <c:strRef>
              <c:f>'EIA-GLOBAL'!$Y$30</c:f>
              <c:strCache>
                <c:ptCount val="1"/>
                <c:pt idx="0">
                  <c:v>Hydroelectric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'EIA-GLOBAL'!$U$31:$U$71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'EIA-GLOBAL'!$Y$31:$Y$71</c:f>
              <c:numCache>
                <c:formatCode>0.0%</c:formatCode>
                <c:ptCount val="41"/>
                <c:pt idx="0">
                  <c:v>1.6440845942963889E-3</c:v>
                </c:pt>
                <c:pt idx="1">
                  <c:v>1.673272707985572E-3</c:v>
                </c:pt>
                <c:pt idx="2">
                  <c:v>1.6579064858298657E-3</c:v>
                </c:pt>
                <c:pt idx="3">
                  <c:v>1.7096090289595912E-3</c:v>
                </c:pt>
                <c:pt idx="4">
                  <c:v>1.6558094124119024E-3</c:v>
                </c:pt>
                <c:pt idx="5">
                  <c:v>1.6490296748246313E-3</c:v>
                </c:pt>
                <c:pt idx="6">
                  <c:v>1.7378911457574745E-3</c:v>
                </c:pt>
                <c:pt idx="7">
                  <c:v>1.8063033230657881E-3</c:v>
                </c:pt>
                <c:pt idx="8">
                  <c:v>1.8294893053949445E-3</c:v>
                </c:pt>
                <c:pt idx="9">
                  <c:v>1.6849946951724222E-3</c:v>
                </c:pt>
                <c:pt idx="10">
                  <c:v>1.7187225783744471E-3</c:v>
                </c:pt>
                <c:pt idx="11">
                  <c:v>1.9698721305317097E-3</c:v>
                </c:pt>
                <c:pt idx="12">
                  <c:v>1.9164018015853396E-3</c:v>
                </c:pt>
                <c:pt idx="13">
                  <c:v>1.9991106744734893E-3</c:v>
                </c:pt>
                <c:pt idx="14">
                  <c:v>2.1229719237225936E-3</c:v>
                </c:pt>
                <c:pt idx="15">
                  <c:v>2.2478591119470715E-3</c:v>
                </c:pt>
                <c:pt idx="16">
                  <c:v>2.3526029240618614E-3</c:v>
                </c:pt>
                <c:pt idx="17">
                  <c:v>2.4008570432168231E-3</c:v>
                </c:pt>
                <c:pt idx="18">
                  <c:v>2.4628095000097188E-3</c:v>
                </c:pt>
                <c:pt idx="19">
                  <c:v>2.5169525641123174E-3</c:v>
                </c:pt>
                <c:pt idx="20">
                  <c:v>2.5729931936807147E-3</c:v>
                </c:pt>
                <c:pt idx="21">
                  <c:v>2.6173976417455998E-3</c:v>
                </c:pt>
                <c:pt idx="22">
                  <c:v>2.6082280780698624E-3</c:v>
                </c:pt>
                <c:pt idx="23">
                  <c:v>2.5993756043276332E-3</c:v>
                </c:pt>
                <c:pt idx="24">
                  <c:v>2.5869944182137661E-3</c:v>
                </c:pt>
                <c:pt idx="25">
                  <c:v>2.5750656682888198E-3</c:v>
                </c:pt>
                <c:pt idx="26">
                  <c:v>2.5677443280907744E-3</c:v>
                </c:pt>
                <c:pt idx="27">
                  <c:v>2.5565098384277012E-3</c:v>
                </c:pt>
                <c:pt idx="28">
                  <c:v>2.5478985088400979E-3</c:v>
                </c:pt>
                <c:pt idx="29">
                  <c:v>2.5418144541500907E-3</c:v>
                </c:pt>
                <c:pt idx="30">
                  <c:v>2.5322553920055797E-3</c:v>
                </c:pt>
                <c:pt idx="31">
                  <c:v>2.5200632343127141E-3</c:v>
                </c:pt>
                <c:pt idx="32">
                  <c:v>2.5080281984374226E-3</c:v>
                </c:pt>
                <c:pt idx="33">
                  <c:v>2.4951050348110339E-3</c:v>
                </c:pt>
                <c:pt idx="34">
                  <c:v>2.4841986163459374E-3</c:v>
                </c:pt>
                <c:pt idx="35">
                  <c:v>2.4732623604509195E-3</c:v>
                </c:pt>
                <c:pt idx="36">
                  <c:v>2.4723238469788284E-3</c:v>
                </c:pt>
                <c:pt idx="37">
                  <c:v>2.4879909178981501E-3</c:v>
                </c:pt>
                <c:pt idx="38">
                  <c:v>2.5032607917208887E-3</c:v>
                </c:pt>
                <c:pt idx="39">
                  <c:v>2.517348199796324E-3</c:v>
                </c:pt>
                <c:pt idx="40">
                  <c:v>2.5315364537703893E-3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7-4035-AC92-503062B87FB2}"/>
            </c:ext>
          </c:extLst>
        </c:ser>
        <c:ser>
          <c:idx val="4"/>
          <c:order val="4"/>
          <c:tx>
            <c:strRef>
              <c:f>'EIA-GLOBAL'!$Z$30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'EIA-GLOBAL'!$U$31:$U$71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'EIA-GLOBAL'!$Z$31:$Z$71</c:f>
              <c:numCache>
                <c:formatCode>0.0%</c:formatCode>
                <c:ptCount val="41"/>
                <c:pt idx="0">
                  <c:v>1.4152564511095715E-4</c:v>
                </c:pt>
                <c:pt idx="1">
                  <c:v>2.7957165300538495E-4</c:v>
                </c:pt>
                <c:pt idx="2">
                  <c:v>4.1486163200907781E-4</c:v>
                </c:pt>
                <c:pt idx="3">
                  <c:v>5.8398415689647179E-4</c:v>
                </c:pt>
                <c:pt idx="4">
                  <c:v>7.629316875252557E-4</c:v>
                </c:pt>
                <c:pt idx="5">
                  <c:v>9.9378658556828134E-4</c:v>
                </c:pt>
                <c:pt idx="6">
                  <c:v>1.3252244365204527E-3</c:v>
                </c:pt>
                <c:pt idx="7">
                  <c:v>1.8237553373799959E-3</c:v>
                </c:pt>
                <c:pt idx="8">
                  <c:v>2.2224154486802784E-3</c:v>
                </c:pt>
                <c:pt idx="9">
                  <c:v>2.9406327520076522E-3</c:v>
                </c:pt>
                <c:pt idx="10">
                  <c:v>3.1011152232861398E-3</c:v>
                </c:pt>
                <c:pt idx="11">
                  <c:v>5.7004573974429778E-3</c:v>
                </c:pt>
                <c:pt idx="12">
                  <c:v>6.2866921793162962E-3</c:v>
                </c:pt>
                <c:pt idx="13">
                  <c:v>7.2165251108852625E-3</c:v>
                </c:pt>
                <c:pt idx="14">
                  <c:v>8.3844650736408771E-3</c:v>
                </c:pt>
                <c:pt idx="15">
                  <c:v>9.6853878451034041E-3</c:v>
                </c:pt>
                <c:pt idx="16">
                  <c:v>1.1296644780581814E-2</c:v>
                </c:pt>
                <c:pt idx="17">
                  <c:v>1.2639925434094442E-2</c:v>
                </c:pt>
                <c:pt idx="18">
                  <c:v>1.3986843505181338E-2</c:v>
                </c:pt>
                <c:pt idx="19">
                  <c:v>1.5360948692435617E-2</c:v>
                </c:pt>
                <c:pt idx="20">
                  <c:v>1.6723077842097728E-2</c:v>
                </c:pt>
                <c:pt idx="21">
                  <c:v>1.8093419202491804E-2</c:v>
                </c:pt>
                <c:pt idx="22">
                  <c:v>1.9122068949232459E-2</c:v>
                </c:pt>
                <c:pt idx="23">
                  <c:v>2.0138656941203297E-2</c:v>
                </c:pt>
                <c:pt idx="24">
                  <c:v>2.1071757729522942E-2</c:v>
                </c:pt>
                <c:pt idx="25">
                  <c:v>2.2014001231322744E-2</c:v>
                </c:pt>
                <c:pt idx="26">
                  <c:v>2.3110426896381518E-2</c:v>
                </c:pt>
                <c:pt idx="27">
                  <c:v>2.4145718701579513E-2</c:v>
                </c:pt>
                <c:pt idx="28">
                  <c:v>2.5190642545580583E-2</c:v>
                </c:pt>
                <c:pt idx="29">
                  <c:v>2.6212231844922194E-2</c:v>
                </c:pt>
                <c:pt idx="30">
                  <c:v>2.7176569911000131E-2</c:v>
                </c:pt>
                <c:pt idx="31">
                  <c:v>2.8403675436219172E-2</c:v>
                </c:pt>
                <c:pt idx="32">
                  <c:v>2.9580843668591619E-2</c:v>
                </c:pt>
                <c:pt idx="33">
                  <c:v>3.0719786369261506E-2</c:v>
                </c:pt>
                <c:pt idx="34">
                  <c:v>3.1871662246365264E-2</c:v>
                </c:pt>
                <c:pt idx="35">
                  <c:v>3.3027946772220401E-2</c:v>
                </c:pt>
                <c:pt idx="36">
                  <c:v>3.4397593554094018E-2</c:v>
                </c:pt>
                <c:pt idx="37">
                  <c:v>3.5990039215268249E-2</c:v>
                </c:pt>
                <c:pt idx="38">
                  <c:v>3.7518064678049086E-2</c:v>
                </c:pt>
                <c:pt idx="39">
                  <c:v>3.9026849052358162E-2</c:v>
                </c:pt>
                <c:pt idx="40">
                  <c:v>4.053175780797149E-2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37-4035-AC92-503062B87FB2}"/>
            </c:ext>
          </c:extLst>
        </c:ser>
        <c:ser>
          <c:idx val="5"/>
          <c:order val="5"/>
          <c:tx>
            <c:strRef>
              <c:f>'EIA-GLOBAL'!$AA$30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'EIA-GLOBAL'!$U$31:$U$71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'EIA-GLOBAL'!$AA$31:$AA$71</c:f>
              <c:numCache>
                <c:formatCode>0.0%</c:formatCode>
                <c:ptCount val="41"/>
                <c:pt idx="0">
                  <c:v>4.9185896020342303E-4</c:v>
                </c:pt>
                <c:pt idx="1">
                  <c:v>6.2922819707213792E-4</c:v>
                </c:pt>
                <c:pt idx="2">
                  <c:v>7.1496625953489622E-4</c:v>
                </c:pt>
                <c:pt idx="3">
                  <c:v>8.7932566547468255E-4</c:v>
                </c:pt>
                <c:pt idx="4">
                  <c:v>9.2722714853165397E-4</c:v>
                </c:pt>
                <c:pt idx="5">
                  <c:v>1.0662078019491909E-3</c:v>
                </c:pt>
                <c:pt idx="6">
                  <c:v>1.2501709375590641E-3</c:v>
                </c:pt>
                <c:pt idx="7">
                  <c:v>1.5084195391178732E-3</c:v>
                </c:pt>
                <c:pt idx="8">
                  <c:v>1.6627182899755031E-3</c:v>
                </c:pt>
                <c:pt idx="9">
                  <c:v>2.106302884259172E-3</c:v>
                </c:pt>
                <c:pt idx="10">
                  <c:v>2.2256194773880075E-3</c:v>
                </c:pt>
                <c:pt idx="11">
                  <c:v>2.7832957386122003E-3</c:v>
                </c:pt>
                <c:pt idx="12">
                  <c:v>2.8600997388423012E-3</c:v>
                </c:pt>
                <c:pt idx="13">
                  <c:v>3.216817533720545E-3</c:v>
                </c:pt>
                <c:pt idx="14">
                  <c:v>3.7174993121158006E-3</c:v>
                </c:pt>
                <c:pt idx="15">
                  <c:v>4.1080903677446655E-3</c:v>
                </c:pt>
                <c:pt idx="16">
                  <c:v>4.4668214551214806E-3</c:v>
                </c:pt>
                <c:pt idx="17">
                  <c:v>4.7261277738151111E-3</c:v>
                </c:pt>
                <c:pt idx="18">
                  <c:v>5.0241299924699504E-3</c:v>
                </c:pt>
                <c:pt idx="19">
                  <c:v>5.3017590644350021E-3</c:v>
                </c:pt>
                <c:pt idx="20">
                  <c:v>5.6204352675824311E-3</c:v>
                </c:pt>
                <c:pt idx="21">
                  <c:v>5.9794828644140624E-3</c:v>
                </c:pt>
                <c:pt idx="22">
                  <c:v>6.2077036749516781E-3</c:v>
                </c:pt>
                <c:pt idx="23">
                  <c:v>6.4318961261682472E-3</c:v>
                </c:pt>
                <c:pt idx="24">
                  <c:v>6.6674469098004863E-3</c:v>
                </c:pt>
                <c:pt idx="25">
                  <c:v>6.9131385362678323E-3</c:v>
                </c:pt>
                <c:pt idx="26">
                  <c:v>7.1649665061781168E-3</c:v>
                </c:pt>
                <c:pt idx="27">
                  <c:v>7.3882098894963453E-3</c:v>
                </c:pt>
                <c:pt idx="28">
                  <c:v>7.6141107420020677E-3</c:v>
                </c:pt>
                <c:pt idx="29">
                  <c:v>7.8418533222630472E-3</c:v>
                </c:pt>
                <c:pt idx="30">
                  <c:v>8.0554212862611711E-3</c:v>
                </c:pt>
                <c:pt idx="31">
                  <c:v>8.2317117475439825E-3</c:v>
                </c:pt>
                <c:pt idx="32">
                  <c:v>8.4009152521903677E-3</c:v>
                </c:pt>
                <c:pt idx="33">
                  <c:v>8.5677559146440253E-3</c:v>
                </c:pt>
                <c:pt idx="34">
                  <c:v>8.7416846879130507E-3</c:v>
                </c:pt>
                <c:pt idx="35">
                  <c:v>8.9110048470146825E-3</c:v>
                </c:pt>
                <c:pt idx="36">
                  <c:v>8.9525221061363385E-3</c:v>
                </c:pt>
                <c:pt idx="37">
                  <c:v>9.0559508874255099E-3</c:v>
                </c:pt>
                <c:pt idx="38">
                  <c:v>9.1533851099274578E-3</c:v>
                </c:pt>
                <c:pt idx="39">
                  <c:v>9.2520189880618848E-3</c:v>
                </c:pt>
                <c:pt idx="40">
                  <c:v>9.3540278227104093E-3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37-4035-AC92-503062B87FB2}"/>
            </c:ext>
          </c:extLst>
        </c:ser>
        <c:ser>
          <c:idx val="6"/>
          <c:order val="6"/>
          <c:tx>
            <c:strRef>
              <c:f>'EIA-GLOBAL'!$AB$30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'EIA-GLOBAL'!$U$31:$U$71</c:f>
              <c:strCach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strCache>
            </c:strRef>
          </c:cat>
          <c:val>
            <c:numRef>
              <c:f>'EIA-GLOBAL'!$AB$31:$AB$71</c:f>
              <c:numCache>
                <c:formatCode>0.0%</c:formatCode>
                <c:ptCount val="41"/>
                <c:pt idx="0">
                  <c:v>2.9681237710349482E-3</c:v>
                </c:pt>
                <c:pt idx="1">
                  <c:v>3.2153225174284101E-3</c:v>
                </c:pt>
                <c:pt idx="2">
                  <c:v>3.2636532824284548E-3</c:v>
                </c:pt>
                <c:pt idx="3">
                  <c:v>3.2343718915007033E-3</c:v>
                </c:pt>
                <c:pt idx="4">
                  <c:v>3.0864578239478907E-3</c:v>
                </c:pt>
                <c:pt idx="5">
                  <c:v>3.0528502585187812E-3</c:v>
                </c:pt>
                <c:pt idx="6">
                  <c:v>3.0670770135412151E-3</c:v>
                </c:pt>
                <c:pt idx="7">
                  <c:v>2.8703191750046623E-3</c:v>
                </c:pt>
                <c:pt idx="8">
                  <c:v>2.7730069326044374E-3</c:v>
                </c:pt>
                <c:pt idx="9">
                  <c:v>2.0389881323802789E-3</c:v>
                </c:pt>
                <c:pt idx="10">
                  <c:v>2.0582416059119748E-3</c:v>
                </c:pt>
                <c:pt idx="11">
                  <c:v>2.2935278159926173E-3</c:v>
                </c:pt>
                <c:pt idx="12">
                  <c:v>2.2080342796975943E-3</c:v>
                </c:pt>
                <c:pt idx="13">
                  <c:v>2.276217749098218E-3</c:v>
                </c:pt>
                <c:pt idx="14">
                  <c:v>2.3969137110495839E-3</c:v>
                </c:pt>
                <c:pt idx="15">
                  <c:v>2.5183283918567157E-3</c:v>
                </c:pt>
                <c:pt idx="16">
                  <c:v>2.4948046173958707E-3</c:v>
                </c:pt>
                <c:pt idx="17">
                  <c:v>2.4057005768962142E-3</c:v>
                </c:pt>
                <c:pt idx="18">
                  <c:v>2.3274650327142505E-3</c:v>
                </c:pt>
                <c:pt idx="19">
                  <c:v>2.2390338858782693E-3</c:v>
                </c:pt>
                <c:pt idx="20">
                  <c:v>2.1516675840833328E-3</c:v>
                </c:pt>
                <c:pt idx="21">
                  <c:v>2.1487274989620427E-3</c:v>
                </c:pt>
                <c:pt idx="22">
                  <c:v>2.1008824727281631E-3</c:v>
                </c:pt>
                <c:pt idx="23">
                  <c:v>2.0565683184136018E-3</c:v>
                </c:pt>
                <c:pt idx="24">
                  <c:v>2.009209314826023E-3</c:v>
                </c:pt>
                <c:pt idx="25">
                  <c:v>1.9634016390174727E-3</c:v>
                </c:pt>
                <c:pt idx="26">
                  <c:v>1.9550749370639384E-3</c:v>
                </c:pt>
                <c:pt idx="27">
                  <c:v>1.9441899614439716E-3</c:v>
                </c:pt>
                <c:pt idx="28">
                  <c:v>1.933752421356085E-3</c:v>
                </c:pt>
                <c:pt idx="29">
                  <c:v>1.9255549293562414E-3</c:v>
                </c:pt>
                <c:pt idx="30">
                  <c:v>1.9147967032188823E-3</c:v>
                </c:pt>
                <c:pt idx="31">
                  <c:v>1.9136081074244186E-3</c:v>
                </c:pt>
                <c:pt idx="32">
                  <c:v>1.9120926829276209E-3</c:v>
                </c:pt>
                <c:pt idx="33">
                  <c:v>1.9093229434777347E-3</c:v>
                </c:pt>
                <c:pt idx="34">
                  <c:v>1.9083752394144645E-3</c:v>
                </c:pt>
                <c:pt idx="35">
                  <c:v>1.9064263987098955E-3</c:v>
                </c:pt>
                <c:pt idx="36">
                  <c:v>1.9151995062495946E-3</c:v>
                </c:pt>
                <c:pt idx="37">
                  <c:v>1.9379168948793944E-3</c:v>
                </c:pt>
                <c:pt idx="38">
                  <c:v>1.9598103699765873E-3</c:v>
                </c:pt>
                <c:pt idx="39">
                  <c:v>1.9795719206029258E-3</c:v>
                </c:pt>
                <c:pt idx="40">
                  <c:v>1.9980618204352135E-3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37-4035-AC92-503062B87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673750111"/>
        <c:axId val="1795989663"/>
      </c:barChart>
      <c:catAx>
        <c:axId val="167375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5989663"/>
        <c:crosses val="autoZero"/>
        <c:auto val="1"/>
        <c:lblAlgn val="ctr"/>
        <c:lblOffset val="100"/>
        <c:noMultiLvlLbl val="0"/>
      </c:catAx>
      <c:valAx>
        <c:axId val="1795989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375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215900</xdr:colOff>
      <xdr:row>74</xdr:row>
      <xdr:rowOff>114300</xdr:rowOff>
    </xdr:from>
    <xdr:ext cx="7599679" cy="3776980"/>
    <xdr:pic>
      <xdr:nvPicPr>
        <xdr:cNvPr id="2" name="Picture 1">
          <a:extLst>
            <a:ext uri="{FF2B5EF4-FFF2-40B4-BE49-F238E27FC236}">
              <a16:creationId xmlns:a16="http://schemas.microsoft.com/office/drawing/2014/main" id="{F1C7EFAD-9CCB-463B-8267-C873BE1B2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700" y="14916150"/>
          <a:ext cx="7599679" cy="3776980"/>
        </a:xfrm>
        <a:prstGeom prst="rect">
          <a:avLst/>
        </a:prstGeom>
      </xdr:spPr>
    </xdr:pic>
    <xdr:clientData/>
  </xdr:oneCellAnchor>
  <xdr:oneCellAnchor>
    <xdr:from>
      <xdr:col>0</xdr:col>
      <xdr:colOff>1320800</xdr:colOff>
      <xdr:row>75</xdr:row>
      <xdr:rowOff>25400</xdr:rowOff>
    </xdr:from>
    <xdr:ext cx="7583494" cy="3731260"/>
    <xdr:pic>
      <xdr:nvPicPr>
        <xdr:cNvPr id="3" name="Picture 2">
          <a:extLst>
            <a:ext uri="{FF2B5EF4-FFF2-40B4-BE49-F238E27FC236}">
              <a16:creationId xmlns:a16="http://schemas.microsoft.com/office/drawing/2014/main" id="{D1ECAEBE-5EE2-4CAD-BD7D-E79C9F92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025" y="15027275"/>
          <a:ext cx="7583494" cy="3731260"/>
        </a:xfrm>
        <a:prstGeom prst="rect">
          <a:avLst/>
        </a:prstGeom>
      </xdr:spPr>
    </xdr:pic>
    <xdr:clientData/>
  </xdr:oneCellAnchor>
  <xdr:twoCellAnchor>
    <xdr:from>
      <xdr:col>29</xdr:col>
      <xdr:colOff>412750</xdr:colOff>
      <xdr:row>72</xdr:row>
      <xdr:rowOff>190500</xdr:rowOff>
    </xdr:from>
    <xdr:to>
      <xdr:col>37</xdr:col>
      <xdr:colOff>317500</xdr:colOff>
      <xdr:row>94</xdr:row>
      <xdr:rowOff>69850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BC5C62-A5E0-4D26-816E-E029F3D02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539750</xdr:colOff>
      <xdr:row>72</xdr:row>
      <xdr:rowOff>95250</xdr:rowOff>
    </xdr:from>
    <xdr:to>
      <xdr:col>27</xdr:col>
      <xdr:colOff>723900</xdr:colOff>
      <xdr:row>92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47A5BE-4B7E-454A-9E8C-2F77C21C5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74</xdr:row>
      <xdr:rowOff>139700</xdr:rowOff>
    </xdr:from>
    <xdr:ext cx="7616825" cy="3762375"/>
    <xdr:pic>
      <xdr:nvPicPr>
        <xdr:cNvPr id="2" name="Picture 1">
          <a:extLst>
            <a:ext uri="{FF2B5EF4-FFF2-40B4-BE49-F238E27FC236}">
              <a16:creationId xmlns:a16="http://schemas.microsoft.com/office/drawing/2014/main" id="{AF471C01-152D-4855-BF9F-79C17802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0" y="14941550"/>
          <a:ext cx="7616825" cy="3762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.gov/eere/wind/articles/how-wind-energy-can-help-us-breathe-easier" TargetMode="External"/><Relationship Id="rId3" Type="http://schemas.openxmlformats.org/officeDocument/2006/relationships/hyperlink" Target="https://www.eia.gov/outlooks/ieo/tables_side_xls.php" TargetMode="External"/><Relationship Id="rId7" Type="http://schemas.openxmlformats.org/officeDocument/2006/relationships/hyperlink" Target="https://www.world-nuclear.org/uploadedFiles/org/WNA/Publications/Working_Group_Reports/comparison_of_lifecycle.pdf" TargetMode="External"/><Relationship Id="rId2" Type="http://schemas.openxmlformats.org/officeDocument/2006/relationships/hyperlink" Target="https://www.eia.gov/outlooks/ieo/electricity/sub-topic-01.php" TargetMode="External"/><Relationship Id="rId1" Type="http://schemas.openxmlformats.org/officeDocument/2006/relationships/hyperlink" Target="https://www.eia.gov/outlooks/ieo/tables_side_xls.php" TargetMode="External"/><Relationship Id="rId6" Type="http://schemas.openxmlformats.org/officeDocument/2006/relationships/hyperlink" Target="https://www.eia.gov/outlooks/ieo/electricity/sub-topic-01.php" TargetMode="External"/><Relationship Id="rId5" Type="http://schemas.openxmlformats.org/officeDocument/2006/relationships/hyperlink" Target="https://impactful.ninja/the-carbon-footprint-of-biomass-energy/" TargetMode="External"/><Relationship Id="rId4" Type="http://schemas.openxmlformats.org/officeDocument/2006/relationships/hyperlink" Target="https://www.wilsonpowersolutions.co.uk/decrbonising-ev-infrastructur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F6A53-636A-9A4F-8CCA-A3293E39C92F}">
  <sheetPr>
    <tabColor theme="3"/>
  </sheetPr>
  <dimension ref="A1:AM62"/>
  <sheetViews>
    <sheetView zoomScale="85" zoomScaleNormal="85" workbookViewId="0">
      <selection activeCell="A21" sqref="A21"/>
    </sheetView>
  </sheetViews>
  <sheetFormatPr baseColWidth="10" defaultColWidth="10.83203125" defaultRowHeight="16" x14ac:dyDescent="0.2"/>
  <cols>
    <col min="1" max="1" width="10.83203125" style="27"/>
    <col min="2" max="2" width="14.1640625" style="27" customWidth="1"/>
    <col min="3" max="3" width="29.5" style="27" customWidth="1"/>
    <col min="4" max="4" width="9.1640625" style="27" customWidth="1"/>
    <col min="5" max="5" width="11.5" style="27" bestFit="1" customWidth="1"/>
    <col min="6" max="7" width="10.83203125" style="27"/>
    <col min="8" max="8" width="12.5" style="27" customWidth="1"/>
    <col min="9" max="16" width="10.83203125" style="27"/>
    <col min="17" max="17" width="13.1640625" style="27" bestFit="1" customWidth="1"/>
    <col min="18" max="16384" width="10.83203125" style="27"/>
  </cols>
  <sheetData>
    <row r="1" spans="1:35" ht="21" x14ac:dyDescent="0.2">
      <c r="A1" s="33" t="s">
        <v>271</v>
      </c>
    </row>
    <row r="2" spans="1:35" x14ac:dyDescent="0.2">
      <c r="A2" s="27" t="s">
        <v>276</v>
      </c>
    </row>
    <row r="3" spans="1:35" x14ac:dyDescent="0.2">
      <c r="A3" s="28" t="s">
        <v>401</v>
      </c>
    </row>
    <row r="4" spans="1:35" x14ac:dyDescent="0.2">
      <c r="A4" s="27" t="s">
        <v>425</v>
      </c>
    </row>
    <row r="5" spans="1:35" x14ac:dyDescent="0.2">
      <c r="A5" s="28" t="s">
        <v>398</v>
      </c>
    </row>
    <row r="7" spans="1:35" ht="29" customHeight="1" x14ac:dyDescent="0.2">
      <c r="E7" s="318" t="s">
        <v>337</v>
      </c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</row>
    <row r="8" spans="1:35" ht="17" x14ac:dyDescent="0.2">
      <c r="B8" s="37" t="s">
        <v>402</v>
      </c>
      <c r="C8" s="37"/>
      <c r="D8" s="37"/>
      <c r="E8" s="37">
        <v>2022</v>
      </c>
      <c r="F8" s="37">
        <v>2023</v>
      </c>
      <c r="G8" s="37">
        <v>2024</v>
      </c>
      <c r="H8" s="37">
        <v>2025</v>
      </c>
      <c r="I8" s="37">
        <v>2026</v>
      </c>
      <c r="J8" s="37">
        <v>2027</v>
      </c>
      <c r="K8" s="37">
        <v>2028</v>
      </c>
      <c r="L8" s="37">
        <v>2029</v>
      </c>
      <c r="M8" s="37">
        <v>2030</v>
      </c>
      <c r="N8" s="37">
        <v>2031</v>
      </c>
      <c r="O8" s="37">
        <v>2032</v>
      </c>
      <c r="P8" s="37">
        <v>2033</v>
      </c>
      <c r="Q8" s="37">
        <v>2034</v>
      </c>
      <c r="R8" s="37">
        <v>2035</v>
      </c>
      <c r="S8" s="37">
        <v>2036</v>
      </c>
      <c r="T8" s="37">
        <v>2037</v>
      </c>
      <c r="U8" s="37">
        <v>2038</v>
      </c>
      <c r="V8" s="37">
        <v>2039</v>
      </c>
      <c r="W8" s="37">
        <v>2040</v>
      </c>
      <c r="X8" s="37">
        <v>2041</v>
      </c>
      <c r="Y8" s="37">
        <v>2042</v>
      </c>
      <c r="Z8" s="37">
        <v>2043</v>
      </c>
      <c r="AA8" s="37">
        <v>2044</v>
      </c>
      <c r="AB8" s="37">
        <v>2045</v>
      </c>
      <c r="AC8" s="37">
        <v>2046</v>
      </c>
      <c r="AD8" s="37">
        <v>2047</v>
      </c>
      <c r="AE8" s="37">
        <v>2048</v>
      </c>
      <c r="AF8" s="37">
        <v>2049</v>
      </c>
      <c r="AG8" s="37">
        <v>2050</v>
      </c>
      <c r="AH8" s="37"/>
      <c r="AI8" s="37"/>
    </row>
    <row r="10" spans="1:35" ht="34" x14ac:dyDescent="0.2">
      <c r="B10" s="29" t="str">
        <f>B51</f>
        <v>A</v>
      </c>
      <c r="C10" s="73" t="s">
        <v>424</v>
      </c>
      <c r="E10" s="68">
        <f>E36*$D$58</f>
        <v>266738.99820815044</v>
      </c>
      <c r="F10" s="68">
        <f t="shared" ref="F10:G10" si="0">F36*$D$58</f>
        <v>86690.174417648901</v>
      </c>
      <c r="G10" s="68">
        <f t="shared" si="0"/>
        <v>100027.12432805642</v>
      </c>
      <c r="H10" s="68">
        <f>H36*$D$58</f>
        <v>266738.99820815044</v>
      </c>
      <c r="I10" s="68">
        <f t="shared" ref="I10:L10" si="1">I36*$D$58</f>
        <v>266738.99820815044</v>
      </c>
      <c r="J10" s="68">
        <f t="shared" si="1"/>
        <v>266738.99820815044</v>
      </c>
      <c r="K10" s="68">
        <f t="shared" si="1"/>
        <v>266738.99820815044</v>
      </c>
      <c r="L10" s="68">
        <f t="shared" si="1"/>
        <v>266738.99820815044</v>
      </c>
      <c r="M10" s="68">
        <f>M36*$D$58</f>
        <v>300081.37298416923</v>
      </c>
      <c r="N10" s="68">
        <f t="shared" ref="N10:Q10" si="2">N36*$D$58</f>
        <v>300081.37298416923</v>
      </c>
      <c r="O10" s="68">
        <f t="shared" si="2"/>
        <v>300081.37298416923</v>
      </c>
      <c r="P10" s="68">
        <f t="shared" si="2"/>
        <v>300081.37298416923</v>
      </c>
      <c r="Q10" s="68">
        <f t="shared" si="2"/>
        <v>300081.37298416923</v>
      </c>
      <c r="R10" s="68">
        <f>R36*$D$58</f>
        <v>300081.37298416923</v>
      </c>
      <c r="S10" s="68">
        <f t="shared" ref="S10:V10" si="3">S36*$D$58</f>
        <v>300081.37298416923</v>
      </c>
      <c r="T10" s="68">
        <f t="shared" si="3"/>
        <v>300081.37298416923</v>
      </c>
      <c r="U10" s="68">
        <f t="shared" si="3"/>
        <v>300081.37298416923</v>
      </c>
      <c r="V10" s="68">
        <f t="shared" si="3"/>
        <v>300081.37298416923</v>
      </c>
      <c r="W10" s="68">
        <f>W36*$D$58</f>
        <v>300081.37298416923</v>
      </c>
      <c r="X10" s="68">
        <f t="shared" ref="X10:AA10" si="4">X36*$D$58</f>
        <v>300081.37298416923</v>
      </c>
      <c r="Y10" s="68">
        <f t="shared" si="4"/>
        <v>300081.37298416923</v>
      </c>
      <c r="Z10" s="68">
        <f t="shared" si="4"/>
        <v>300081.37298416923</v>
      </c>
      <c r="AA10" s="68">
        <f t="shared" si="4"/>
        <v>300081.37298416923</v>
      </c>
      <c r="AB10" s="68">
        <f>AB36*$D$58</f>
        <v>300081.37298416923</v>
      </c>
      <c r="AC10" s="68">
        <f t="shared" ref="AC10:AF10" si="5">AC36*$D$58</f>
        <v>300081.37298416923</v>
      </c>
      <c r="AD10" s="68">
        <f t="shared" si="5"/>
        <v>300081.37298416923</v>
      </c>
      <c r="AE10" s="68">
        <f t="shared" si="5"/>
        <v>300081.37298416923</v>
      </c>
      <c r="AF10" s="68">
        <f t="shared" si="5"/>
        <v>100027.12432805642</v>
      </c>
      <c r="AG10" s="68">
        <f>AG36*$D$58</f>
        <v>100027.12432805642</v>
      </c>
    </row>
    <row r="11" spans="1:35" ht="17" x14ac:dyDescent="0.2">
      <c r="C11" s="73" t="s">
        <v>403</v>
      </c>
      <c r="E11" s="51">
        <f>'Volume Inputs &amp; Emissions'!U45</f>
        <v>0.56320277259696905</v>
      </c>
      <c r="F11" s="51">
        <f>E11</f>
        <v>0.56320277259696905</v>
      </c>
      <c r="G11" s="51">
        <f>F11</f>
        <v>0.56320277259696905</v>
      </c>
      <c r="H11" s="51">
        <f>'Volume Inputs &amp; Emissions'!U46</f>
        <v>0.65459464117322874</v>
      </c>
      <c r="I11" s="51">
        <f>H11</f>
        <v>0.65459464117322874</v>
      </c>
      <c r="J11" s="51">
        <f t="shared" ref="J11:L11" si="6">I11</f>
        <v>0.65459464117322874</v>
      </c>
      <c r="K11" s="51">
        <f t="shared" si="6"/>
        <v>0.65459464117322874</v>
      </c>
      <c r="L11" s="51">
        <f t="shared" si="6"/>
        <v>0.65459464117322874</v>
      </c>
      <c r="M11" s="51">
        <f>'Volume Inputs &amp; Emissions'!U47</f>
        <v>0.70793273175789018</v>
      </c>
      <c r="N11" s="51">
        <f>M11</f>
        <v>0.70793273175789018</v>
      </c>
      <c r="O11" s="51">
        <f t="shared" ref="O11:Q11" si="7">N11</f>
        <v>0.70793273175789018</v>
      </c>
      <c r="P11" s="51">
        <f t="shared" si="7"/>
        <v>0.70793273175789018</v>
      </c>
      <c r="Q11" s="51">
        <f t="shared" si="7"/>
        <v>0.70793273175789018</v>
      </c>
      <c r="R11" s="51">
        <f>'Volume Inputs &amp; Emissions'!U48</f>
        <v>0.72380917813419599</v>
      </c>
      <c r="S11" s="51">
        <f>R11</f>
        <v>0.72380917813419599</v>
      </c>
      <c r="T11" s="51">
        <f t="shared" ref="T11:V11" si="8">S11</f>
        <v>0.72380917813419599</v>
      </c>
      <c r="U11" s="51">
        <f t="shared" si="8"/>
        <v>0.72380917813419599</v>
      </c>
      <c r="V11" s="51">
        <f t="shared" si="8"/>
        <v>0.72380917813419599</v>
      </c>
      <c r="W11" s="51">
        <f>'Volume Inputs &amp; Emissions'!U49</f>
        <v>0.75231166455256493</v>
      </c>
      <c r="X11" s="51">
        <f>W11</f>
        <v>0.75231166455256493</v>
      </c>
      <c r="Y11" s="51">
        <f t="shared" ref="Y11:AA11" si="9">X11</f>
        <v>0.75231166455256493</v>
      </c>
      <c r="Z11" s="51">
        <f t="shared" si="9"/>
        <v>0.75231166455256493</v>
      </c>
      <c r="AA11" s="51">
        <f t="shared" si="9"/>
        <v>0.75231166455256493</v>
      </c>
      <c r="AB11" s="51">
        <f>'Volume Inputs &amp; Emissions'!U50</f>
        <v>0.76924671179174198</v>
      </c>
      <c r="AC11" s="51">
        <f>AB11</f>
        <v>0.76924671179174198</v>
      </c>
      <c r="AD11" s="51">
        <f t="shared" ref="AD11:AF11" si="10">AC11</f>
        <v>0.76924671179174198</v>
      </c>
      <c r="AE11" s="51">
        <f t="shared" si="10"/>
        <v>0.76924671179174198</v>
      </c>
      <c r="AF11" s="51">
        <f t="shared" si="10"/>
        <v>0.76924671179174198</v>
      </c>
      <c r="AG11" s="51">
        <f>'Volume Inputs &amp; Emissions'!U51</f>
        <v>0.82853247209119174</v>
      </c>
    </row>
    <row r="12" spans="1:35" ht="34" x14ac:dyDescent="0.2">
      <c r="C12" s="73" t="s">
        <v>423</v>
      </c>
      <c r="E12" s="69">
        <f>E51</f>
        <v>2.2113228604512809</v>
      </c>
      <c r="F12" s="69">
        <f>E12</f>
        <v>2.2113228604512809</v>
      </c>
      <c r="G12" s="69">
        <f>F12</f>
        <v>2.2113228604512809</v>
      </c>
      <c r="H12" s="69">
        <f>E12</f>
        <v>2.2113228604512809</v>
      </c>
      <c r="I12" s="69">
        <f>H12</f>
        <v>2.2113228604512809</v>
      </c>
      <c r="J12" s="69">
        <f t="shared" ref="J12:L12" si="11">I12</f>
        <v>2.2113228604512809</v>
      </c>
      <c r="K12" s="69">
        <f t="shared" si="11"/>
        <v>2.2113228604512809</v>
      </c>
      <c r="L12" s="69">
        <f t="shared" si="11"/>
        <v>2.2113228604512809</v>
      </c>
      <c r="M12" s="69">
        <f>H12</f>
        <v>2.2113228604512809</v>
      </c>
      <c r="N12" s="69">
        <f>M12</f>
        <v>2.2113228604512809</v>
      </c>
      <c r="O12" s="69">
        <f t="shared" ref="O12:Q12" si="12">N12</f>
        <v>2.2113228604512809</v>
      </c>
      <c r="P12" s="69">
        <f t="shared" si="12"/>
        <v>2.2113228604512809</v>
      </c>
      <c r="Q12" s="69">
        <f t="shared" si="12"/>
        <v>2.2113228604512809</v>
      </c>
      <c r="R12" s="69">
        <f>M12</f>
        <v>2.2113228604512809</v>
      </c>
      <c r="S12" s="69">
        <f>R12</f>
        <v>2.2113228604512809</v>
      </c>
      <c r="T12" s="69">
        <f t="shared" ref="T12:V12" si="13">S12</f>
        <v>2.2113228604512809</v>
      </c>
      <c r="U12" s="69">
        <f t="shared" si="13"/>
        <v>2.2113228604512809</v>
      </c>
      <c r="V12" s="69">
        <f t="shared" si="13"/>
        <v>2.2113228604512809</v>
      </c>
      <c r="W12" s="69">
        <f>R12</f>
        <v>2.2113228604512809</v>
      </c>
      <c r="X12" s="69">
        <f>W12</f>
        <v>2.2113228604512809</v>
      </c>
      <c r="Y12" s="69">
        <f t="shared" ref="Y12:AA12" si="14">X12</f>
        <v>2.2113228604512809</v>
      </c>
      <c r="Z12" s="69">
        <f t="shared" si="14"/>
        <v>2.2113228604512809</v>
      </c>
      <c r="AA12" s="69">
        <f t="shared" si="14"/>
        <v>2.2113228604512809</v>
      </c>
      <c r="AB12" s="69">
        <f>W12</f>
        <v>2.2113228604512809</v>
      </c>
      <c r="AC12" s="69">
        <f>AB12</f>
        <v>2.2113228604512809</v>
      </c>
      <c r="AD12" s="69">
        <f t="shared" ref="AD12:AF12" si="15">AC12</f>
        <v>2.2113228604512809</v>
      </c>
      <c r="AE12" s="69">
        <f t="shared" si="15"/>
        <v>2.2113228604512809</v>
      </c>
      <c r="AF12" s="69">
        <f t="shared" si="15"/>
        <v>2.2113228604512809</v>
      </c>
      <c r="AG12" s="69">
        <f>AB12</f>
        <v>2.2113228604512809</v>
      </c>
      <c r="AH12" s="70"/>
      <c r="AI12" s="70"/>
    </row>
    <row r="13" spans="1:35" x14ac:dyDescent="0.2">
      <c r="C13" s="73"/>
      <c r="E13" s="26">
        <f>(E10*E11)*E12</f>
        <v>332202.92767426372</v>
      </c>
      <c r="F13" s="26">
        <f t="shared" ref="F13:G13" si="16">(F10*F11)*F12</f>
        <v>107965.95149413572</v>
      </c>
      <c r="G13" s="26">
        <f t="shared" si="16"/>
        <v>124576.09787784891</v>
      </c>
      <c r="H13" s="26">
        <f t="shared" ref="H13:AG13" si="17">(H10*H11)*H12</f>
        <v>386110.05985449051</v>
      </c>
      <c r="I13" s="26">
        <f t="shared" si="17"/>
        <v>386110.05985449051</v>
      </c>
      <c r="J13" s="26">
        <f t="shared" si="17"/>
        <v>386110.05985449051</v>
      </c>
      <c r="K13" s="26">
        <f t="shared" si="17"/>
        <v>386110.05985449051</v>
      </c>
      <c r="L13" s="26">
        <f t="shared" si="17"/>
        <v>386110.05985449051</v>
      </c>
      <c r="M13" s="26">
        <f t="shared" si="17"/>
        <v>469767.73680860869</v>
      </c>
      <c r="N13" s="26">
        <f t="shared" si="17"/>
        <v>469767.73680860869</v>
      </c>
      <c r="O13" s="26">
        <f t="shared" si="17"/>
        <v>469767.73680860869</v>
      </c>
      <c r="P13" s="26">
        <f t="shared" si="17"/>
        <v>469767.73680860869</v>
      </c>
      <c r="Q13" s="26">
        <f t="shared" si="17"/>
        <v>469767.73680860869</v>
      </c>
      <c r="R13" s="26">
        <f t="shared" si="17"/>
        <v>480302.97829156794</v>
      </c>
      <c r="S13" s="26">
        <f t="shared" si="17"/>
        <v>480302.97829156794</v>
      </c>
      <c r="T13" s="26">
        <f t="shared" si="17"/>
        <v>480302.97829156794</v>
      </c>
      <c r="U13" s="26">
        <f t="shared" si="17"/>
        <v>480302.97829156794</v>
      </c>
      <c r="V13" s="26">
        <f t="shared" si="17"/>
        <v>480302.97829156794</v>
      </c>
      <c r="W13" s="26">
        <f t="shared" si="17"/>
        <v>499216.56702326465</v>
      </c>
      <c r="X13" s="26">
        <f t="shared" si="17"/>
        <v>499216.56702326465</v>
      </c>
      <c r="Y13" s="26">
        <f t="shared" si="17"/>
        <v>499216.56702326465</v>
      </c>
      <c r="Z13" s="26">
        <f t="shared" si="17"/>
        <v>499216.56702326465</v>
      </c>
      <c r="AA13" s="26">
        <f t="shared" si="17"/>
        <v>499216.56702326465</v>
      </c>
      <c r="AB13" s="26">
        <f t="shared" si="17"/>
        <v>510454.27147936512</v>
      </c>
      <c r="AC13" s="26">
        <f t="shared" si="17"/>
        <v>510454.27147936512</v>
      </c>
      <c r="AD13" s="26">
        <f t="shared" si="17"/>
        <v>510454.27147936512</v>
      </c>
      <c r="AE13" s="26">
        <f t="shared" si="17"/>
        <v>510454.27147936512</v>
      </c>
      <c r="AF13" s="26">
        <f t="shared" si="17"/>
        <v>170151.42382645508</v>
      </c>
      <c r="AG13" s="26">
        <f t="shared" si="17"/>
        <v>183264.97552963911</v>
      </c>
    </row>
    <row r="14" spans="1:35" x14ac:dyDescent="0.2">
      <c r="C14" s="74"/>
    </row>
    <row r="15" spans="1:35" ht="34" x14ac:dyDescent="0.2">
      <c r="B15" s="29" t="str">
        <f>B52</f>
        <v xml:space="preserve">B </v>
      </c>
      <c r="C15" s="73" t="s">
        <v>424</v>
      </c>
      <c r="E15" s="68">
        <f>E36*$D$59</f>
        <v>387598.42843287135</v>
      </c>
      <c r="F15" s="68">
        <f t="shared" ref="F15:G15" si="18">F36*$D$59</f>
        <v>125969.48924068319</v>
      </c>
      <c r="G15" s="68">
        <f t="shared" si="18"/>
        <v>145349.41066232676</v>
      </c>
      <c r="H15" s="68">
        <f>H36*$D$59</f>
        <v>387598.42843287135</v>
      </c>
      <c r="I15" s="68">
        <f t="shared" ref="I15:L15" si="19">I36*$D$59</f>
        <v>387598.42843287135</v>
      </c>
      <c r="J15" s="68">
        <f t="shared" si="19"/>
        <v>387598.42843287135</v>
      </c>
      <c r="K15" s="68">
        <f t="shared" si="19"/>
        <v>387598.42843287135</v>
      </c>
      <c r="L15" s="68">
        <f t="shared" si="19"/>
        <v>387598.42843287135</v>
      </c>
      <c r="M15" s="68">
        <f>M36*$D$59</f>
        <v>436048.23198698024</v>
      </c>
      <c r="N15" s="68">
        <f t="shared" ref="N15:Q15" si="20">N36*$D$59</f>
        <v>436048.23198698024</v>
      </c>
      <c r="O15" s="68">
        <f t="shared" si="20"/>
        <v>436048.23198698024</v>
      </c>
      <c r="P15" s="68">
        <f t="shared" si="20"/>
        <v>436048.23198698024</v>
      </c>
      <c r="Q15" s="68">
        <f t="shared" si="20"/>
        <v>436048.23198698024</v>
      </c>
      <c r="R15" s="68">
        <f>R36*$D$59</f>
        <v>436048.23198698024</v>
      </c>
      <c r="S15" s="68">
        <f t="shared" ref="S15:AG15" si="21">S36*$D$59</f>
        <v>436048.23198698024</v>
      </c>
      <c r="T15" s="68">
        <f t="shared" si="21"/>
        <v>436048.23198698024</v>
      </c>
      <c r="U15" s="68">
        <f t="shared" si="21"/>
        <v>436048.23198698024</v>
      </c>
      <c r="V15" s="68">
        <f t="shared" si="21"/>
        <v>436048.23198698024</v>
      </c>
      <c r="W15" s="68">
        <f t="shared" si="21"/>
        <v>436048.23198698024</v>
      </c>
      <c r="X15" s="68">
        <f t="shared" si="21"/>
        <v>436048.23198698024</v>
      </c>
      <c r="Y15" s="68">
        <f t="shared" si="21"/>
        <v>436048.23198698024</v>
      </c>
      <c r="Z15" s="68">
        <f t="shared" si="21"/>
        <v>436048.23198698024</v>
      </c>
      <c r="AA15" s="68">
        <f t="shared" si="21"/>
        <v>436048.23198698024</v>
      </c>
      <c r="AB15" s="68">
        <f t="shared" si="21"/>
        <v>436048.23198698024</v>
      </c>
      <c r="AC15" s="68">
        <f t="shared" si="21"/>
        <v>436048.23198698024</v>
      </c>
      <c r="AD15" s="68">
        <f t="shared" si="21"/>
        <v>436048.23198698024</v>
      </c>
      <c r="AE15" s="68">
        <f t="shared" si="21"/>
        <v>436048.23198698024</v>
      </c>
      <c r="AF15" s="68">
        <f t="shared" si="21"/>
        <v>145349.41066232676</v>
      </c>
      <c r="AG15" s="68">
        <f t="shared" si="21"/>
        <v>145349.41066232676</v>
      </c>
    </row>
    <row r="16" spans="1:35" ht="17" x14ac:dyDescent="0.2">
      <c r="C16" s="73" t="s">
        <v>403</v>
      </c>
      <c r="E16" s="51">
        <f>E11</f>
        <v>0.56320277259696905</v>
      </c>
      <c r="F16" s="51">
        <f t="shared" ref="F16:G16" si="22">F11</f>
        <v>0.56320277259696905</v>
      </c>
      <c r="G16" s="51">
        <f t="shared" si="22"/>
        <v>0.56320277259696905</v>
      </c>
      <c r="H16" s="51">
        <f t="shared" ref="H16:AG16" si="23">H11</f>
        <v>0.65459464117322874</v>
      </c>
      <c r="I16" s="51">
        <f>H16</f>
        <v>0.65459464117322874</v>
      </c>
      <c r="J16" s="51">
        <f t="shared" ref="J16:L16" si="24">I16</f>
        <v>0.65459464117322874</v>
      </c>
      <c r="K16" s="51">
        <f t="shared" si="24"/>
        <v>0.65459464117322874</v>
      </c>
      <c r="L16" s="51">
        <f t="shared" si="24"/>
        <v>0.65459464117322874</v>
      </c>
      <c r="M16" s="51">
        <f t="shared" si="23"/>
        <v>0.70793273175789018</v>
      </c>
      <c r="N16" s="51">
        <f>M16</f>
        <v>0.70793273175789018</v>
      </c>
      <c r="O16" s="51">
        <f t="shared" ref="O16:Q16" si="25">N16</f>
        <v>0.70793273175789018</v>
      </c>
      <c r="P16" s="51">
        <f t="shared" si="25"/>
        <v>0.70793273175789018</v>
      </c>
      <c r="Q16" s="51">
        <f t="shared" si="25"/>
        <v>0.70793273175789018</v>
      </c>
      <c r="R16" s="51">
        <f t="shared" si="23"/>
        <v>0.72380917813419599</v>
      </c>
      <c r="S16" s="51">
        <f>R16</f>
        <v>0.72380917813419599</v>
      </c>
      <c r="T16" s="51">
        <f t="shared" ref="T16:V16" si="26">S16</f>
        <v>0.72380917813419599</v>
      </c>
      <c r="U16" s="51">
        <f t="shared" si="26"/>
        <v>0.72380917813419599</v>
      </c>
      <c r="V16" s="51">
        <f t="shared" si="26"/>
        <v>0.72380917813419599</v>
      </c>
      <c r="W16" s="51">
        <f t="shared" si="23"/>
        <v>0.75231166455256493</v>
      </c>
      <c r="X16" s="51">
        <f>W16</f>
        <v>0.75231166455256493</v>
      </c>
      <c r="Y16" s="51">
        <f t="shared" ref="Y16:AA16" si="27">X16</f>
        <v>0.75231166455256493</v>
      </c>
      <c r="Z16" s="51">
        <f t="shared" si="27"/>
        <v>0.75231166455256493</v>
      </c>
      <c r="AA16" s="51">
        <f t="shared" si="27"/>
        <v>0.75231166455256493</v>
      </c>
      <c r="AB16" s="51">
        <f t="shared" si="23"/>
        <v>0.76924671179174198</v>
      </c>
      <c r="AC16" s="51">
        <f>AB16</f>
        <v>0.76924671179174198</v>
      </c>
      <c r="AD16" s="51">
        <f t="shared" ref="AD16:AF16" si="28">AC16</f>
        <v>0.76924671179174198</v>
      </c>
      <c r="AE16" s="51">
        <f t="shared" si="28"/>
        <v>0.76924671179174198</v>
      </c>
      <c r="AF16" s="51">
        <f t="shared" si="28"/>
        <v>0.76924671179174198</v>
      </c>
      <c r="AG16" s="51">
        <f t="shared" si="23"/>
        <v>0.82853247209119174</v>
      </c>
    </row>
    <row r="17" spans="2:39" ht="34" x14ac:dyDescent="0.2">
      <c r="C17" s="73" t="s">
        <v>423</v>
      </c>
      <c r="E17" s="69">
        <f>E52</f>
        <v>2.1547079074473752</v>
      </c>
      <c r="F17" s="69">
        <f>E17</f>
        <v>2.1547079074473752</v>
      </c>
      <c r="G17" s="69">
        <f>E17</f>
        <v>2.1547079074473752</v>
      </c>
      <c r="H17" s="69">
        <f>E17</f>
        <v>2.1547079074473752</v>
      </c>
      <c r="I17" s="69">
        <f>H17</f>
        <v>2.1547079074473752</v>
      </c>
      <c r="J17" s="69">
        <f t="shared" ref="J17:L17" si="29">I17</f>
        <v>2.1547079074473752</v>
      </c>
      <c r="K17" s="69">
        <f t="shared" si="29"/>
        <v>2.1547079074473752</v>
      </c>
      <c r="L17" s="69">
        <f t="shared" si="29"/>
        <v>2.1547079074473752</v>
      </c>
      <c r="M17" s="69">
        <f>H17</f>
        <v>2.1547079074473752</v>
      </c>
      <c r="N17" s="69">
        <f>M17</f>
        <v>2.1547079074473752</v>
      </c>
      <c r="O17" s="69">
        <f t="shared" ref="O17:Q17" si="30">N17</f>
        <v>2.1547079074473752</v>
      </c>
      <c r="P17" s="69">
        <f t="shared" si="30"/>
        <v>2.1547079074473752</v>
      </c>
      <c r="Q17" s="69">
        <f t="shared" si="30"/>
        <v>2.1547079074473752</v>
      </c>
      <c r="R17" s="69">
        <f>M17</f>
        <v>2.1547079074473752</v>
      </c>
      <c r="S17" s="69">
        <f>R17</f>
        <v>2.1547079074473752</v>
      </c>
      <c r="T17" s="69">
        <f t="shared" ref="T17:V17" si="31">S17</f>
        <v>2.1547079074473752</v>
      </c>
      <c r="U17" s="69">
        <f t="shared" si="31"/>
        <v>2.1547079074473752</v>
      </c>
      <c r="V17" s="69">
        <f t="shared" si="31"/>
        <v>2.1547079074473752</v>
      </c>
      <c r="W17" s="69">
        <f>R17</f>
        <v>2.1547079074473752</v>
      </c>
      <c r="X17" s="69">
        <f>W17</f>
        <v>2.1547079074473752</v>
      </c>
      <c r="Y17" s="69">
        <f t="shared" ref="Y17:AA17" si="32">X17</f>
        <v>2.1547079074473752</v>
      </c>
      <c r="Z17" s="69">
        <f t="shared" si="32"/>
        <v>2.1547079074473752</v>
      </c>
      <c r="AA17" s="69">
        <f t="shared" si="32"/>
        <v>2.1547079074473752</v>
      </c>
      <c r="AB17" s="69">
        <f>W17</f>
        <v>2.1547079074473752</v>
      </c>
      <c r="AC17" s="69">
        <f>AB17</f>
        <v>2.1547079074473752</v>
      </c>
      <c r="AD17" s="69">
        <f t="shared" ref="AD17:AF17" si="33">AC17</f>
        <v>2.1547079074473752</v>
      </c>
      <c r="AE17" s="69">
        <f t="shared" si="33"/>
        <v>2.1547079074473752</v>
      </c>
      <c r="AF17" s="69">
        <f t="shared" si="33"/>
        <v>2.1547079074473752</v>
      </c>
      <c r="AG17" s="69">
        <f>AB17</f>
        <v>2.1547079074473752</v>
      </c>
      <c r="AH17" s="70"/>
      <c r="AI17" s="70"/>
    </row>
    <row r="18" spans="2:39" x14ac:dyDescent="0.2">
      <c r="C18" s="73"/>
      <c r="E18" s="26">
        <f>E15*E16*E17</f>
        <v>470365.21529042051</v>
      </c>
      <c r="F18" s="26">
        <f t="shared" ref="F18:G18" si="34">F15*F16*F17</f>
        <v>152868.69496938665</v>
      </c>
      <c r="G18" s="26">
        <f t="shared" si="34"/>
        <v>176386.95573390767</v>
      </c>
      <c r="H18" s="26">
        <f t="shared" ref="H18:AG18" si="35">H15*H16*H17</f>
        <v>546692.17607658182</v>
      </c>
      <c r="I18" s="26">
        <f t="shared" si="35"/>
        <v>546692.17607658182</v>
      </c>
      <c r="J18" s="26">
        <f t="shared" si="35"/>
        <v>546692.17607658182</v>
      </c>
      <c r="K18" s="26">
        <f t="shared" si="35"/>
        <v>546692.17607658182</v>
      </c>
      <c r="L18" s="26">
        <f t="shared" si="35"/>
        <v>546692.17607658182</v>
      </c>
      <c r="M18" s="26">
        <f t="shared" si="35"/>
        <v>665142.85171242058</v>
      </c>
      <c r="N18" s="26">
        <f t="shared" si="35"/>
        <v>665142.85171242058</v>
      </c>
      <c r="O18" s="26">
        <f t="shared" si="35"/>
        <v>665142.85171242058</v>
      </c>
      <c r="P18" s="26">
        <f t="shared" si="35"/>
        <v>665142.85171242058</v>
      </c>
      <c r="Q18" s="26">
        <f t="shared" si="35"/>
        <v>665142.85171242058</v>
      </c>
      <c r="R18" s="26">
        <f t="shared" si="35"/>
        <v>680059.67126895266</v>
      </c>
      <c r="S18" s="26">
        <f t="shared" si="35"/>
        <v>680059.67126895266</v>
      </c>
      <c r="T18" s="26">
        <f t="shared" si="35"/>
        <v>680059.67126895266</v>
      </c>
      <c r="U18" s="26">
        <f t="shared" si="35"/>
        <v>680059.67126895266</v>
      </c>
      <c r="V18" s="26">
        <f t="shared" si="35"/>
        <v>680059.67126895266</v>
      </c>
      <c r="W18" s="26">
        <f t="shared" si="35"/>
        <v>706839.36974416336</v>
      </c>
      <c r="X18" s="26">
        <f t="shared" si="35"/>
        <v>706839.36974416336</v>
      </c>
      <c r="Y18" s="26">
        <f t="shared" si="35"/>
        <v>706839.36974416336</v>
      </c>
      <c r="Z18" s="26">
        <f t="shared" si="35"/>
        <v>706839.36974416336</v>
      </c>
      <c r="AA18" s="26">
        <f t="shared" si="35"/>
        <v>706839.36974416336</v>
      </c>
      <c r="AB18" s="26">
        <f t="shared" si="35"/>
        <v>722750.80470010929</v>
      </c>
      <c r="AC18" s="26">
        <f t="shared" si="35"/>
        <v>722750.80470010929</v>
      </c>
      <c r="AD18" s="26">
        <f t="shared" si="35"/>
        <v>722750.80470010929</v>
      </c>
      <c r="AE18" s="26">
        <f t="shared" si="35"/>
        <v>722750.80470010929</v>
      </c>
      <c r="AF18" s="26">
        <f t="shared" si="35"/>
        <v>240916.93490003643</v>
      </c>
      <c r="AG18" s="26">
        <f t="shared" si="35"/>
        <v>259484.37683461898</v>
      </c>
    </row>
    <row r="19" spans="2:39" x14ac:dyDescent="0.2">
      <c r="C19" s="74"/>
    </row>
    <row r="20" spans="2:39" ht="34" x14ac:dyDescent="0.2">
      <c r="B20" s="29" t="str">
        <f>B60</f>
        <v>C</v>
      </c>
      <c r="C20" s="73" t="s">
        <v>424</v>
      </c>
      <c r="E20" s="68">
        <f>E36*$D$60</f>
        <v>862093.3405664874</v>
      </c>
      <c r="F20" s="68">
        <f t="shared" ref="F20:G20" si="36">F36*$D$60</f>
        <v>280180.33568410837</v>
      </c>
      <c r="G20" s="68">
        <f t="shared" si="36"/>
        <v>323285.00271243276</v>
      </c>
      <c r="H20" s="68">
        <f>H36*$D$60</f>
        <v>862093.3405664874</v>
      </c>
      <c r="I20" s="68">
        <f t="shared" ref="I20:L20" si="37">I36*$D$60</f>
        <v>862093.3405664874</v>
      </c>
      <c r="J20" s="68">
        <f t="shared" si="37"/>
        <v>862093.3405664874</v>
      </c>
      <c r="K20" s="68">
        <f t="shared" si="37"/>
        <v>862093.3405664874</v>
      </c>
      <c r="L20" s="68">
        <f t="shared" si="37"/>
        <v>862093.3405664874</v>
      </c>
      <c r="M20" s="68">
        <f>M36*$D$60</f>
        <v>969855.00813729828</v>
      </c>
      <c r="N20" s="68">
        <f t="shared" ref="N20:Q20" si="38">N36*$D$60</f>
        <v>969855.00813729828</v>
      </c>
      <c r="O20" s="68">
        <f t="shared" si="38"/>
        <v>969855.00813729828</v>
      </c>
      <c r="P20" s="68">
        <f t="shared" si="38"/>
        <v>969855.00813729828</v>
      </c>
      <c r="Q20" s="68">
        <f t="shared" si="38"/>
        <v>969855.00813729828</v>
      </c>
      <c r="R20" s="68">
        <f>R36*$D$60</f>
        <v>969855.00813729828</v>
      </c>
      <c r="S20" s="68">
        <f t="shared" ref="S20:AG20" si="39">S36*$D$60</f>
        <v>969855.00813729828</v>
      </c>
      <c r="T20" s="68">
        <f t="shared" si="39"/>
        <v>969855.00813729828</v>
      </c>
      <c r="U20" s="68">
        <f t="shared" si="39"/>
        <v>969855.00813729828</v>
      </c>
      <c r="V20" s="68">
        <f t="shared" si="39"/>
        <v>969855.00813729828</v>
      </c>
      <c r="W20" s="68">
        <f t="shared" si="39"/>
        <v>969855.00813729828</v>
      </c>
      <c r="X20" s="68">
        <f t="shared" si="39"/>
        <v>969855.00813729828</v>
      </c>
      <c r="Y20" s="68">
        <f t="shared" si="39"/>
        <v>969855.00813729828</v>
      </c>
      <c r="Z20" s="68">
        <f t="shared" si="39"/>
        <v>969855.00813729828</v>
      </c>
      <c r="AA20" s="68">
        <f t="shared" si="39"/>
        <v>969855.00813729828</v>
      </c>
      <c r="AB20" s="68">
        <f t="shared" si="39"/>
        <v>969855.00813729828</v>
      </c>
      <c r="AC20" s="68">
        <f t="shared" si="39"/>
        <v>969855.00813729828</v>
      </c>
      <c r="AD20" s="68">
        <f t="shared" si="39"/>
        <v>969855.00813729828</v>
      </c>
      <c r="AE20" s="68">
        <f t="shared" si="39"/>
        <v>969855.00813729828</v>
      </c>
      <c r="AF20" s="68">
        <f t="shared" si="39"/>
        <v>323285.00271243276</v>
      </c>
      <c r="AG20" s="68">
        <f t="shared" si="39"/>
        <v>323285.00271243276</v>
      </c>
    </row>
    <row r="21" spans="2:39" ht="17" x14ac:dyDescent="0.2">
      <c r="C21" s="73" t="s">
        <v>403</v>
      </c>
      <c r="E21" s="51">
        <f>E11</f>
        <v>0.56320277259696905</v>
      </c>
      <c r="F21" s="51">
        <f>E21</f>
        <v>0.56320277259696905</v>
      </c>
      <c r="G21" s="51">
        <f>F21</f>
        <v>0.56320277259696905</v>
      </c>
      <c r="H21" s="51">
        <f t="shared" ref="H21:AG21" si="40">H11</f>
        <v>0.65459464117322874</v>
      </c>
      <c r="I21" s="51">
        <f>H21</f>
        <v>0.65459464117322874</v>
      </c>
      <c r="J21" s="51">
        <f t="shared" ref="J21:L21" si="41">I21</f>
        <v>0.65459464117322874</v>
      </c>
      <c r="K21" s="51">
        <f t="shared" si="41"/>
        <v>0.65459464117322874</v>
      </c>
      <c r="L21" s="51">
        <f t="shared" si="41"/>
        <v>0.65459464117322874</v>
      </c>
      <c r="M21" s="51">
        <f t="shared" si="40"/>
        <v>0.70793273175789018</v>
      </c>
      <c r="N21" s="51">
        <f>M21</f>
        <v>0.70793273175789018</v>
      </c>
      <c r="O21" s="51">
        <f t="shared" ref="O21:Q21" si="42">N21</f>
        <v>0.70793273175789018</v>
      </c>
      <c r="P21" s="51">
        <f t="shared" si="42"/>
        <v>0.70793273175789018</v>
      </c>
      <c r="Q21" s="51">
        <f t="shared" si="42"/>
        <v>0.70793273175789018</v>
      </c>
      <c r="R21" s="51">
        <f t="shared" si="40"/>
        <v>0.72380917813419599</v>
      </c>
      <c r="S21" s="51">
        <f>R21</f>
        <v>0.72380917813419599</v>
      </c>
      <c r="T21" s="51">
        <f t="shared" ref="T21:V21" si="43">S21</f>
        <v>0.72380917813419599</v>
      </c>
      <c r="U21" s="51">
        <f t="shared" si="43"/>
        <v>0.72380917813419599</v>
      </c>
      <c r="V21" s="51">
        <f t="shared" si="43"/>
        <v>0.72380917813419599</v>
      </c>
      <c r="W21" s="51">
        <f t="shared" si="40"/>
        <v>0.75231166455256493</v>
      </c>
      <c r="X21" s="51">
        <f>W21</f>
        <v>0.75231166455256493</v>
      </c>
      <c r="Y21" s="51">
        <f t="shared" ref="Y21:AA21" si="44">X21</f>
        <v>0.75231166455256493</v>
      </c>
      <c r="Z21" s="51">
        <f t="shared" si="44"/>
        <v>0.75231166455256493</v>
      </c>
      <c r="AA21" s="51">
        <f t="shared" si="44"/>
        <v>0.75231166455256493</v>
      </c>
      <c r="AB21" s="51">
        <f t="shared" si="40"/>
        <v>0.76924671179174198</v>
      </c>
      <c r="AC21" s="51">
        <f>AB21</f>
        <v>0.76924671179174198</v>
      </c>
      <c r="AD21" s="51">
        <f t="shared" ref="AD21:AF21" si="45">AC21</f>
        <v>0.76924671179174198</v>
      </c>
      <c r="AE21" s="51">
        <f t="shared" si="45"/>
        <v>0.76924671179174198</v>
      </c>
      <c r="AF21" s="51">
        <f t="shared" si="45"/>
        <v>0.76924671179174198</v>
      </c>
      <c r="AG21" s="51">
        <f t="shared" si="40"/>
        <v>0.82853247209119174</v>
      </c>
    </row>
    <row r="22" spans="2:39" ht="34" x14ac:dyDescent="0.2">
      <c r="C22" s="73" t="s">
        <v>423</v>
      </c>
      <c r="E22" s="69">
        <f>E53</f>
        <v>2.2507015621387185</v>
      </c>
      <c r="F22" s="69">
        <f>E22</f>
        <v>2.2507015621387185</v>
      </c>
      <c r="G22" s="69">
        <f>E22</f>
        <v>2.2507015621387185</v>
      </c>
      <c r="H22" s="69">
        <f>E22</f>
        <v>2.2507015621387185</v>
      </c>
      <c r="I22" s="69">
        <f>H22</f>
        <v>2.2507015621387185</v>
      </c>
      <c r="J22" s="69">
        <f t="shared" ref="J22:L22" si="46">I22</f>
        <v>2.2507015621387185</v>
      </c>
      <c r="K22" s="69">
        <f t="shared" si="46"/>
        <v>2.2507015621387185</v>
      </c>
      <c r="L22" s="69">
        <f t="shared" si="46"/>
        <v>2.2507015621387185</v>
      </c>
      <c r="M22" s="69">
        <f>H22</f>
        <v>2.2507015621387185</v>
      </c>
      <c r="N22" s="69">
        <f>M22</f>
        <v>2.2507015621387185</v>
      </c>
      <c r="O22" s="69">
        <f t="shared" ref="O22:Q22" si="47">N22</f>
        <v>2.2507015621387185</v>
      </c>
      <c r="P22" s="69">
        <f t="shared" si="47"/>
        <v>2.2507015621387185</v>
      </c>
      <c r="Q22" s="69">
        <f t="shared" si="47"/>
        <v>2.2507015621387185</v>
      </c>
      <c r="R22" s="69">
        <f>M22</f>
        <v>2.2507015621387185</v>
      </c>
      <c r="S22" s="69">
        <f>R22</f>
        <v>2.2507015621387185</v>
      </c>
      <c r="T22" s="69">
        <f t="shared" ref="T22:V22" si="48">S22</f>
        <v>2.2507015621387185</v>
      </c>
      <c r="U22" s="69">
        <f t="shared" si="48"/>
        <v>2.2507015621387185</v>
      </c>
      <c r="V22" s="69">
        <f t="shared" si="48"/>
        <v>2.2507015621387185</v>
      </c>
      <c r="W22" s="69">
        <f>R22</f>
        <v>2.2507015621387185</v>
      </c>
      <c r="X22" s="69">
        <f>W22</f>
        <v>2.2507015621387185</v>
      </c>
      <c r="Y22" s="69">
        <f t="shared" ref="Y22:AA22" si="49">X22</f>
        <v>2.2507015621387185</v>
      </c>
      <c r="Z22" s="69">
        <f t="shared" si="49"/>
        <v>2.2507015621387185</v>
      </c>
      <c r="AA22" s="69">
        <f t="shared" si="49"/>
        <v>2.2507015621387185</v>
      </c>
      <c r="AB22" s="69">
        <f>W22</f>
        <v>2.2507015621387185</v>
      </c>
      <c r="AC22" s="69">
        <f>AB22</f>
        <v>2.2507015621387185</v>
      </c>
      <c r="AD22" s="69">
        <f t="shared" ref="AD22:AF22" si="50">AC22</f>
        <v>2.2507015621387185</v>
      </c>
      <c r="AE22" s="69">
        <f t="shared" si="50"/>
        <v>2.2507015621387185</v>
      </c>
      <c r="AF22" s="69">
        <f t="shared" si="50"/>
        <v>2.2507015621387185</v>
      </c>
      <c r="AG22" s="69">
        <f>AB22</f>
        <v>2.2507015621387185</v>
      </c>
      <c r="AH22" s="70"/>
      <c r="AI22" s="70"/>
    </row>
    <row r="23" spans="2:39" x14ac:dyDescent="0.2">
      <c r="C23" s="73"/>
      <c r="E23" s="26">
        <f>E20*E21*E22</f>
        <v>1092790.6910221761</v>
      </c>
      <c r="F23" s="26">
        <f t="shared" ref="F23:G23" si="51">F20*F21*F22</f>
        <v>355156.97458220721</v>
      </c>
      <c r="G23" s="26">
        <f t="shared" si="51"/>
        <v>409796.50913331599</v>
      </c>
      <c r="H23" s="26">
        <f t="shared" ref="H23:AG23" si="52">H20*H21*H22</f>
        <v>1270119.688808783</v>
      </c>
      <c r="I23" s="26">
        <f t="shared" si="52"/>
        <v>1270119.688808783</v>
      </c>
      <c r="J23" s="26">
        <f t="shared" si="52"/>
        <v>1270119.688808783</v>
      </c>
      <c r="K23" s="26">
        <f t="shared" si="52"/>
        <v>1270119.688808783</v>
      </c>
      <c r="L23" s="26">
        <f t="shared" si="52"/>
        <v>1270119.688808783</v>
      </c>
      <c r="M23" s="26">
        <f t="shared" si="52"/>
        <v>1545313.9239951791</v>
      </c>
      <c r="N23" s="26">
        <f t="shared" si="52"/>
        <v>1545313.9239951791</v>
      </c>
      <c r="O23" s="26">
        <f t="shared" si="52"/>
        <v>1545313.9239951791</v>
      </c>
      <c r="P23" s="26">
        <f t="shared" si="52"/>
        <v>1545313.9239951791</v>
      </c>
      <c r="Q23" s="26">
        <f t="shared" si="52"/>
        <v>1545313.9239951791</v>
      </c>
      <c r="R23" s="26">
        <f t="shared" si="52"/>
        <v>1579969.891360817</v>
      </c>
      <c r="S23" s="26">
        <f t="shared" si="52"/>
        <v>1579969.891360817</v>
      </c>
      <c r="T23" s="26">
        <f t="shared" si="52"/>
        <v>1579969.891360817</v>
      </c>
      <c r="U23" s="26">
        <f t="shared" si="52"/>
        <v>1579969.891360817</v>
      </c>
      <c r="V23" s="26">
        <f t="shared" si="52"/>
        <v>1579969.891360817</v>
      </c>
      <c r="W23" s="26">
        <f t="shared" si="52"/>
        <v>1642186.6630326377</v>
      </c>
      <c r="X23" s="26">
        <f t="shared" si="52"/>
        <v>1642186.6630326377</v>
      </c>
      <c r="Y23" s="26">
        <f t="shared" si="52"/>
        <v>1642186.6630326377</v>
      </c>
      <c r="Z23" s="26">
        <f t="shared" si="52"/>
        <v>1642186.6630326377</v>
      </c>
      <c r="AA23" s="26">
        <f t="shared" si="52"/>
        <v>1642186.6630326377</v>
      </c>
      <c r="AB23" s="26">
        <f t="shared" si="52"/>
        <v>1679153.4017187171</v>
      </c>
      <c r="AC23" s="26">
        <f t="shared" si="52"/>
        <v>1679153.4017187171</v>
      </c>
      <c r="AD23" s="26">
        <f t="shared" si="52"/>
        <v>1679153.4017187171</v>
      </c>
      <c r="AE23" s="26">
        <f t="shared" si="52"/>
        <v>1679153.4017187171</v>
      </c>
      <c r="AF23" s="26">
        <f t="shared" si="52"/>
        <v>559717.80057290581</v>
      </c>
      <c r="AG23" s="26">
        <f t="shared" si="52"/>
        <v>602855.19050442649</v>
      </c>
    </row>
    <row r="24" spans="2:39" x14ac:dyDescent="0.2">
      <c r="C24" s="74"/>
    </row>
    <row r="25" spans="2:39" ht="34" x14ac:dyDescent="0.2">
      <c r="B25" s="29" t="str">
        <f>B61</f>
        <v>D</v>
      </c>
      <c r="C25" s="73" t="s">
        <v>424</v>
      </c>
      <c r="E25" s="68">
        <f>E36*$D$61</f>
        <v>483569.23279249063</v>
      </c>
      <c r="F25" s="68">
        <f t="shared" ref="F25:G25" si="53">F36*$D$61</f>
        <v>157160.00065755946</v>
      </c>
      <c r="G25" s="68">
        <f t="shared" si="53"/>
        <v>181338.46229718399</v>
      </c>
      <c r="H25" s="68">
        <f>H36*$D$61</f>
        <v>483569.23279249063</v>
      </c>
      <c r="I25" s="68">
        <f t="shared" ref="I25:L25" si="54">I36*$D$61</f>
        <v>483569.23279249063</v>
      </c>
      <c r="J25" s="68">
        <f t="shared" si="54"/>
        <v>483569.23279249063</v>
      </c>
      <c r="K25" s="68">
        <f t="shared" si="54"/>
        <v>483569.23279249063</v>
      </c>
      <c r="L25" s="68">
        <f t="shared" si="54"/>
        <v>483569.23279249063</v>
      </c>
      <c r="M25" s="68">
        <f>M36*$D$61</f>
        <v>544015.38689155201</v>
      </c>
      <c r="N25" s="68">
        <f t="shared" ref="N25:Q25" si="55">N36*$D$61</f>
        <v>544015.38689155201</v>
      </c>
      <c r="O25" s="68">
        <f t="shared" si="55"/>
        <v>544015.38689155201</v>
      </c>
      <c r="P25" s="68">
        <f t="shared" si="55"/>
        <v>544015.38689155201</v>
      </c>
      <c r="Q25" s="68">
        <f t="shared" si="55"/>
        <v>544015.38689155201</v>
      </c>
      <c r="R25" s="68">
        <f>R36*$D$61</f>
        <v>544015.38689155201</v>
      </c>
      <c r="S25" s="68">
        <f t="shared" ref="S25:AG25" si="56">S36*$D$61</f>
        <v>544015.38689155201</v>
      </c>
      <c r="T25" s="68">
        <f t="shared" si="56"/>
        <v>544015.38689155201</v>
      </c>
      <c r="U25" s="68">
        <f t="shared" si="56"/>
        <v>544015.38689155201</v>
      </c>
      <c r="V25" s="68">
        <f t="shared" si="56"/>
        <v>544015.38689155201</v>
      </c>
      <c r="W25" s="68">
        <f t="shared" si="56"/>
        <v>544015.38689155201</v>
      </c>
      <c r="X25" s="68">
        <f t="shared" si="56"/>
        <v>544015.38689155201</v>
      </c>
      <c r="Y25" s="68">
        <f t="shared" si="56"/>
        <v>544015.38689155201</v>
      </c>
      <c r="Z25" s="68">
        <f t="shared" si="56"/>
        <v>544015.38689155201</v>
      </c>
      <c r="AA25" s="68">
        <f t="shared" si="56"/>
        <v>544015.38689155201</v>
      </c>
      <c r="AB25" s="68">
        <f t="shared" si="56"/>
        <v>544015.38689155201</v>
      </c>
      <c r="AC25" s="68">
        <f t="shared" si="56"/>
        <v>544015.38689155201</v>
      </c>
      <c r="AD25" s="68">
        <f t="shared" si="56"/>
        <v>544015.38689155201</v>
      </c>
      <c r="AE25" s="68">
        <f t="shared" si="56"/>
        <v>544015.38689155201</v>
      </c>
      <c r="AF25" s="68">
        <f t="shared" si="56"/>
        <v>181338.46229718399</v>
      </c>
      <c r="AG25" s="68">
        <f t="shared" si="56"/>
        <v>181338.46229718399</v>
      </c>
    </row>
    <row r="26" spans="2:39" ht="17" x14ac:dyDescent="0.2">
      <c r="C26" s="73" t="s">
        <v>403</v>
      </c>
      <c r="E26" s="51">
        <f>E11</f>
        <v>0.56320277259696905</v>
      </c>
      <c r="F26" s="51">
        <f>E26</f>
        <v>0.56320277259696905</v>
      </c>
      <c r="G26" s="51">
        <f>F26</f>
        <v>0.56320277259696905</v>
      </c>
      <c r="H26" s="51">
        <f t="shared" ref="H26:AG26" si="57">H11</f>
        <v>0.65459464117322874</v>
      </c>
      <c r="I26" s="51">
        <f>H26</f>
        <v>0.65459464117322874</v>
      </c>
      <c r="J26" s="51">
        <f t="shared" ref="J26:L26" si="58">I26</f>
        <v>0.65459464117322874</v>
      </c>
      <c r="K26" s="51">
        <f t="shared" si="58"/>
        <v>0.65459464117322874</v>
      </c>
      <c r="L26" s="51">
        <f t="shared" si="58"/>
        <v>0.65459464117322874</v>
      </c>
      <c r="M26" s="51">
        <f t="shared" si="57"/>
        <v>0.70793273175789018</v>
      </c>
      <c r="N26" s="51">
        <f>M26</f>
        <v>0.70793273175789018</v>
      </c>
      <c r="O26" s="51">
        <f t="shared" ref="O26:Q26" si="59">N26</f>
        <v>0.70793273175789018</v>
      </c>
      <c r="P26" s="51">
        <f t="shared" si="59"/>
        <v>0.70793273175789018</v>
      </c>
      <c r="Q26" s="51">
        <f t="shared" si="59"/>
        <v>0.70793273175789018</v>
      </c>
      <c r="R26" s="51">
        <f t="shared" si="57"/>
        <v>0.72380917813419599</v>
      </c>
      <c r="S26" s="51">
        <f>R26</f>
        <v>0.72380917813419599</v>
      </c>
      <c r="T26" s="51">
        <f t="shared" ref="T26:V26" si="60">S26</f>
        <v>0.72380917813419599</v>
      </c>
      <c r="U26" s="51">
        <f t="shared" si="60"/>
        <v>0.72380917813419599</v>
      </c>
      <c r="V26" s="51">
        <f t="shared" si="60"/>
        <v>0.72380917813419599</v>
      </c>
      <c r="W26" s="51">
        <f t="shared" si="57"/>
        <v>0.75231166455256493</v>
      </c>
      <c r="X26" s="51">
        <f>W26</f>
        <v>0.75231166455256493</v>
      </c>
      <c r="Y26" s="51">
        <f t="shared" ref="Y26:AA26" si="61">X26</f>
        <v>0.75231166455256493</v>
      </c>
      <c r="Z26" s="51">
        <f t="shared" si="61"/>
        <v>0.75231166455256493</v>
      </c>
      <c r="AA26" s="51">
        <f t="shared" si="61"/>
        <v>0.75231166455256493</v>
      </c>
      <c r="AB26" s="51">
        <f t="shared" si="57"/>
        <v>0.76924671179174198</v>
      </c>
      <c r="AC26" s="51">
        <f>AB26</f>
        <v>0.76924671179174198</v>
      </c>
      <c r="AD26" s="51">
        <f t="shared" ref="AD26:AF26" si="62">AC26</f>
        <v>0.76924671179174198</v>
      </c>
      <c r="AE26" s="51">
        <f t="shared" si="62"/>
        <v>0.76924671179174198</v>
      </c>
      <c r="AF26" s="51">
        <f t="shared" si="62"/>
        <v>0.76924671179174198</v>
      </c>
      <c r="AG26" s="51">
        <f t="shared" si="57"/>
        <v>0.82853247209119174</v>
      </c>
    </row>
    <row r="27" spans="2:39" ht="34" x14ac:dyDescent="0.2">
      <c r="C27" s="73" t="s">
        <v>423</v>
      </c>
      <c r="E27" s="69">
        <f>E54</f>
        <v>2.2086064519149482</v>
      </c>
      <c r="F27" s="69">
        <f>E27</f>
        <v>2.2086064519149482</v>
      </c>
      <c r="G27" s="69">
        <f>E27</f>
        <v>2.2086064519149482</v>
      </c>
      <c r="H27" s="69">
        <f>E27</f>
        <v>2.2086064519149482</v>
      </c>
      <c r="I27" s="69">
        <f>H27</f>
        <v>2.2086064519149482</v>
      </c>
      <c r="J27" s="69">
        <f t="shared" ref="J27:L27" si="63">I27</f>
        <v>2.2086064519149482</v>
      </c>
      <c r="K27" s="69">
        <f t="shared" si="63"/>
        <v>2.2086064519149482</v>
      </c>
      <c r="L27" s="69">
        <f t="shared" si="63"/>
        <v>2.2086064519149482</v>
      </c>
      <c r="M27" s="69">
        <f>H27</f>
        <v>2.2086064519149482</v>
      </c>
      <c r="N27" s="69">
        <f>M27</f>
        <v>2.2086064519149482</v>
      </c>
      <c r="O27" s="69">
        <f t="shared" ref="O27:Q27" si="64">N27</f>
        <v>2.2086064519149482</v>
      </c>
      <c r="P27" s="69">
        <f t="shared" si="64"/>
        <v>2.2086064519149482</v>
      </c>
      <c r="Q27" s="69">
        <f t="shared" si="64"/>
        <v>2.2086064519149482</v>
      </c>
      <c r="R27" s="69">
        <f>M27</f>
        <v>2.2086064519149482</v>
      </c>
      <c r="S27" s="69">
        <f>R27</f>
        <v>2.2086064519149482</v>
      </c>
      <c r="T27" s="69">
        <f t="shared" ref="T27:V27" si="65">S27</f>
        <v>2.2086064519149482</v>
      </c>
      <c r="U27" s="69">
        <f t="shared" si="65"/>
        <v>2.2086064519149482</v>
      </c>
      <c r="V27" s="69">
        <f t="shared" si="65"/>
        <v>2.2086064519149482</v>
      </c>
      <c r="W27" s="69">
        <f>R27</f>
        <v>2.2086064519149482</v>
      </c>
      <c r="X27" s="69">
        <f>W27</f>
        <v>2.2086064519149482</v>
      </c>
      <c r="Y27" s="69">
        <f t="shared" ref="Y27:AA27" si="66">X27</f>
        <v>2.2086064519149482</v>
      </c>
      <c r="Z27" s="69">
        <f t="shared" si="66"/>
        <v>2.2086064519149482</v>
      </c>
      <c r="AA27" s="69">
        <f t="shared" si="66"/>
        <v>2.2086064519149482</v>
      </c>
      <c r="AB27" s="69">
        <f>W27</f>
        <v>2.2086064519149482</v>
      </c>
      <c r="AC27" s="69">
        <f>AB27</f>
        <v>2.2086064519149482</v>
      </c>
      <c r="AD27" s="69">
        <f t="shared" ref="AD27:AF27" si="67">AC27</f>
        <v>2.2086064519149482</v>
      </c>
      <c r="AE27" s="69">
        <f t="shared" si="67"/>
        <v>2.2086064519149482</v>
      </c>
      <c r="AF27" s="69">
        <f t="shared" si="67"/>
        <v>2.2086064519149482</v>
      </c>
      <c r="AG27" s="69">
        <f>AB27</f>
        <v>2.2086064519149482</v>
      </c>
      <c r="AH27" s="70"/>
      <c r="AI27" s="70"/>
      <c r="AM27" s="75"/>
    </row>
    <row r="28" spans="2:39" x14ac:dyDescent="0.2">
      <c r="E28" s="26">
        <f>E25*E26*E27</f>
        <v>601508.51777682209</v>
      </c>
      <c r="F28" s="26">
        <f t="shared" ref="F28:G28" si="68">F25*F26*F27</f>
        <v>195490.2682774672</v>
      </c>
      <c r="G28" s="26">
        <f t="shared" si="68"/>
        <v>225565.6941663083</v>
      </c>
      <c r="H28" s="26">
        <f t="shared" ref="H28:AG28" si="69">H25*H26*H27</f>
        <v>699116.32455425616</v>
      </c>
      <c r="I28" s="26">
        <f t="shared" si="69"/>
        <v>699116.32455425616</v>
      </c>
      <c r="J28" s="26">
        <f t="shared" si="69"/>
        <v>699116.32455425616</v>
      </c>
      <c r="K28" s="26">
        <f t="shared" si="69"/>
        <v>699116.32455425616</v>
      </c>
      <c r="L28" s="26">
        <f t="shared" si="69"/>
        <v>699116.32455425616</v>
      </c>
      <c r="M28" s="26">
        <f t="shared" si="69"/>
        <v>850592.42868620146</v>
      </c>
      <c r="N28" s="26">
        <f t="shared" si="69"/>
        <v>850592.42868620146</v>
      </c>
      <c r="O28" s="26">
        <f t="shared" si="69"/>
        <v>850592.42868620146</v>
      </c>
      <c r="P28" s="26">
        <f t="shared" si="69"/>
        <v>850592.42868620146</v>
      </c>
      <c r="Q28" s="26">
        <f t="shared" si="69"/>
        <v>850592.42868620146</v>
      </c>
      <c r="R28" s="26">
        <f t="shared" si="69"/>
        <v>869668.23133851704</v>
      </c>
      <c r="S28" s="26">
        <f t="shared" si="69"/>
        <v>869668.23133851704</v>
      </c>
      <c r="T28" s="26">
        <f t="shared" si="69"/>
        <v>869668.23133851704</v>
      </c>
      <c r="U28" s="26">
        <f t="shared" si="69"/>
        <v>869668.23133851704</v>
      </c>
      <c r="V28" s="26">
        <f t="shared" si="69"/>
        <v>869668.23133851704</v>
      </c>
      <c r="W28" s="26">
        <f t="shared" si="69"/>
        <v>903914.42177245114</v>
      </c>
      <c r="X28" s="26">
        <f t="shared" si="69"/>
        <v>903914.42177245114</v>
      </c>
      <c r="Y28" s="26">
        <f t="shared" si="69"/>
        <v>903914.42177245114</v>
      </c>
      <c r="Z28" s="26">
        <f t="shared" si="69"/>
        <v>903914.42177245114</v>
      </c>
      <c r="AA28" s="26">
        <f t="shared" si="69"/>
        <v>903914.42177245114</v>
      </c>
      <c r="AB28" s="26">
        <f t="shared" si="69"/>
        <v>924262.15018630493</v>
      </c>
      <c r="AC28" s="26">
        <f t="shared" si="69"/>
        <v>924262.15018630493</v>
      </c>
      <c r="AD28" s="26">
        <f t="shared" si="69"/>
        <v>924262.15018630493</v>
      </c>
      <c r="AE28" s="26">
        <f t="shared" si="69"/>
        <v>924262.15018630493</v>
      </c>
      <c r="AF28" s="26">
        <f t="shared" si="69"/>
        <v>308087.38339543494</v>
      </c>
      <c r="AG28" s="26">
        <f t="shared" si="69"/>
        <v>331831.64448005217</v>
      </c>
    </row>
    <row r="30" spans="2:39" x14ac:dyDescent="0.2">
      <c r="C30" s="313" t="s">
        <v>404</v>
      </c>
      <c r="D30" s="71"/>
      <c r="E30" s="72">
        <f>E13+E18+E23+E28</f>
        <v>2496867.3517636824</v>
      </c>
      <c r="F30" s="72">
        <f t="shared" ref="F30:G30" si="70">F13+F18+F23+F28</f>
        <v>811481.88932319684</v>
      </c>
      <c r="G30" s="72">
        <f t="shared" si="70"/>
        <v>936325.25691138091</v>
      </c>
      <c r="H30" s="72">
        <f t="shared" ref="H30:AG30" si="71">H13+H18+H23+H28</f>
        <v>2902038.2492941115</v>
      </c>
      <c r="I30" s="72">
        <f t="shared" si="71"/>
        <v>2902038.2492941115</v>
      </c>
      <c r="J30" s="72">
        <f t="shared" si="71"/>
        <v>2902038.2492941115</v>
      </c>
      <c r="K30" s="72">
        <f t="shared" si="71"/>
        <v>2902038.2492941115</v>
      </c>
      <c r="L30" s="72">
        <f t="shared" si="71"/>
        <v>2902038.2492941115</v>
      </c>
      <c r="M30" s="72">
        <f t="shared" si="71"/>
        <v>3530816.94120241</v>
      </c>
      <c r="N30" s="72">
        <f t="shared" si="71"/>
        <v>3530816.94120241</v>
      </c>
      <c r="O30" s="72">
        <f t="shared" si="71"/>
        <v>3530816.94120241</v>
      </c>
      <c r="P30" s="72">
        <f t="shared" si="71"/>
        <v>3530816.94120241</v>
      </c>
      <c r="Q30" s="72">
        <f t="shared" si="71"/>
        <v>3530816.94120241</v>
      </c>
      <c r="R30" s="72">
        <f t="shared" si="71"/>
        <v>3610000.7722598547</v>
      </c>
      <c r="S30" s="72">
        <f t="shared" si="71"/>
        <v>3610000.7722598547</v>
      </c>
      <c r="T30" s="72">
        <f t="shared" si="71"/>
        <v>3610000.7722598547</v>
      </c>
      <c r="U30" s="72">
        <f t="shared" si="71"/>
        <v>3610000.7722598547</v>
      </c>
      <c r="V30" s="72">
        <f t="shared" si="71"/>
        <v>3610000.7722598547</v>
      </c>
      <c r="W30" s="72">
        <f t="shared" si="71"/>
        <v>3752157.0215725168</v>
      </c>
      <c r="X30" s="72">
        <f t="shared" si="71"/>
        <v>3752157.0215725168</v>
      </c>
      <c r="Y30" s="72">
        <f t="shared" si="71"/>
        <v>3752157.0215725168</v>
      </c>
      <c r="Z30" s="72">
        <f t="shared" si="71"/>
        <v>3752157.0215725168</v>
      </c>
      <c r="AA30" s="72">
        <f t="shared" si="71"/>
        <v>3752157.0215725168</v>
      </c>
      <c r="AB30" s="72">
        <f t="shared" si="71"/>
        <v>3836620.6280844966</v>
      </c>
      <c r="AC30" s="72">
        <f t="shared" si="71"/>
        <v>3836620.6280844966</v>
      </c>
      <c r="AD30" s="72">
        <f t="shared" si="71"/>
        <v>3836620.6280844966</v>
      </c>
      <c r="AE30" s="72">
        <f t="shared" si="71"/>
        <v>3836620.6280844966</v>
      </c>
      <c r="AF30" s="72">
        <f t="shared" si="71"/>
        <v>1278873.5426948322</v>
      </c>
      <c r="AG30" s="72">
        <f t="shared" si="71"/>
        <v>1377436.1873487367</v>
      </c>
      <c r="AH30" s="50"/>
      <c r="AI30" s="50"/>
      <c r="AJ30" s="26">
        <f>SUM(E30:AI30)</f>
        <v>91222531.662024274</v>
      </c>
    </row>
    <row r="31" spans="2:39" x14ac:dyDescent="0.2">
      <c r="C31" s="27" t="s">
        <v>866</v>
      </c>
      <c r="E31" s="67">
        <f>E30/E36</f>
        <v>1.2484336758818413</v>
      </c>
      <c r="F31" s="67">
        <f t="shared" ref="F31:G31" si="72">F30/F36</f>
        <v>1.2484336758818413</v>
      </c>
      <c r="G31" s="67">
        <f t="shared" si="72"/>
        <v>1.2484336758818413</v>
      </c>
      <c r="H31" s="67">
        <f>H30/H36</f>
        <v>1.4510191246470558</v>
      </c>
      <c r="I31" s="67">
        <f t="shared" ref="I31:M31" si="73">I30/I36</f>
        <v>1.4510191246470558</v>
      </c>
      <c r="J31" s="67">
        <f t="shared" si="73"/>
        <v>1.4510191246470558</v>
      </c>
      <c r="K31" s="67">
        <f t="shared" si="73"/>
        <v>1.4510191246470558</v>
      </c>
      <c r="L31" s="67">
        <f t="shared" si="73"/>
        <v>1.4510191246470558</v>
      </c>
      <c r="M31" s="67">
        <f t="shared" si="73"/>
        <v>1.5692519738677377</v>
      </c>
      <c r="N31" s="67">
        <f t="shared" ref="N31" si="74">N30/N36</f>
        <v>1.5692519738677377</v>
      </c>
      <c r="O31" s="67">
        <f t="shared" ref="O31:P31" si="75">O30/O36</f>
        <v>1.5692519738677377</v>
      </c>
      <c r="P31" s="67">
        <f t="shared" si="75"/>
        <v>1.5692519738677377</v>
      </c>
      <c r="Q31" s="67">
        <f t="shared" ref="Q31" si="76">Q30/Q36</f>
        <v>1.5692519738677377</v>
      </c>
      <c r="R31" s="67">
        <f t="shared" ref="R31" si="77">R30/R36</f>
        <v>1.6044447876710466</v>
      </c>
      <c r="S31" s="67">
        <f t="shared" ref="S31" si="78">S30/S36</f>
        <v>1.6044447876710466</v>
      </c>
      <c r="T31" s="67">
        <f t="shared" ref="T31:U31" si="79">T30/T36</f>
        <v>1.6044447876710466</v>
      </c>
      <c r="U31" s="67">
        <f t="shared" si="79"/>
        <v>1.6044447876710466</v>
      </c>
      <c r="V31" s="67">
        <f t="shared" ref="V31" si="80">V30/V36</f>
        <v>1.6044447876710466</v>
      </c>
      <c r="W31" s="67">
        <f t="shared" ref="W31:X31" si="81">W30/W36</f>
        <v>1.6676253429211185</v>
      </c>
      <c r="X31" s="67">
        <f t="shared" si="81"/>
        <v>1.6676253429211185</v>
      </c>
      <c r="Y31" s="67">
        <f t="shared" ref="Y31" si="82">Y30/Y36</f>
        <v>1.6676253429211185</v>
      </c>
      <c r="Z31" s="67">
        <f t="shared" ref="Z31" si="83">Z30/Z36</f>
        <v>1.6676253429211185</v>
      </c>
      <c r="AA31" s="67">
        <f t="shared" ref="AA31" si="84">AA30/AA36</f>
        <v>1.6676253429211185</v>
      </c>
      <c r="AB31" s="67">
        <f t="shared" ref="AB31:AC31" si="85">AB30/AB36</f>
        <v>1.7051647235931096</v>
      </c>
      <c r="AC31" s="67">
        <f t="shared" si="85"/>
        <v>1.7051647235931096</v>
      </c>
      <c r="AD31" s="67">
        <f t="shared" ref="AD31" si="86">AD30/AD36</f>
        <v>1.7051647235931096</v>
      </c>
      <c r="AE31" s="67">
        <f t="shared" ref="AE31:AF31" si="87">AE30/AE36</f>
        <v>1.7051647235931096</v>
      </c>
      <c r="AF31" s="67">
        <f t="shared" si="87"/>
        <v>1.7051647235931096</v>
      </c>
      <c r="AG31" s="67">
        <f t="shared" ref="AG31" si="88">AG30/AG36</f>
        <v>1.836581583131649</v>
      </c>
    </row>
    <row r="35" spans="1:37" x14ac:dyDescent="0.2">
      <c r="A35" s="27" t="s">
        <v>405</v>
      </c>
      <c r="C35" s="50"/>
      <c r="D35" s="37"/>
      <c r="E35" s="37">
        <v>2022</v>
      </c>
      <c r="F35" s="37">
        <v>2023</v>
      </c>
      <c r="G35" s="37">
        <v>2024</v>
      </c>
      <c r="H35" s="37">
        <v>2025</v>
      </c>
      <c r="I35" s="37">
        <v>2026</v>
      </c>
      <c r="J35" s="37">
        <v>2027</v>
      </c>
      <c r="K35" s="37">
        <v>2028</v>
      </c>
      <c r="L35" s="37">
        <v>2029</v>
      </c>
      <c r="M35" s="37">
        <v>2030</v>
      </c>
      <c r="N35" s="37">
        <v>2031</v>
      </c>
      <c r="O35" s="37">
        <v>2032</v>
      </c>
      <c r="P35" s="37">
        <v>2033</v>
      </c>
      <c r="Q35" s="37">
        <v>2034</v>
      </c>
      <c r="R35" s="37">
        <v>2035</v>
      </c>
      <c r="S35" s="37">
        <v>2036</v>
      </c>
      <c r="T35" s="37">
        <v>2037</v>
      </c>
      <c r="U35" s="37">
        <v>2038</v>
      </c>
      <c r="V35" s="37">
        <v>2039</v>
      </c>
      <c r="W35" s="37">
        <v>2040</v>
      </c>
      <c r="X35" s="37">
        <v>2041</v>
      </c>
      <c r="Y35" s="37">
        <v>2042</v>
      </c>
      <c r="Z35" s="37">
        <v>2043</v>
      </c>
      <c r="AA35" s="37">
        <v>2044</v>
      </c>
      <c r="AB35" s="37">
        <v>2045</v>
      </c>
      <c r="AC35" s="37">
        <v>2046</v>
      </c>
      <c r="AD35" s="37">
        <v>2047</v>
      </c>
      <c r="AE35" s="37">
        <v>2048</v>
      </c>
      <c r="AF35" s="37">
        <v>2049</v>
      </c>
      <c r="AG35" s="37">
        <v>2050</v>
      </c>
      <c r="AH35" s="37"/>
      <c r="AI35" s="37"/>
    </row>
    <row r="36" spans="1:37" x14ac:dyDescent="0.2">
      <c r="C36" s="27" t="s">
        <v>844</v>
      </c>
      <c r="D36" s="52"/>
      <c r="E36" s="52">
        <f>'Coal Production'!C6</f>
        <v>2000000</v>
      </c>
      <c r="F36" s="52">
        <v>650000</v>
      </c>
      <c r="G36" s="52">
        <v>750000</v>
      </c>
      <c r="H36" s="52">
        <f>'Coal Production'!D6</f>
        <v>2000000</v>
      </c>
      <c r="I36" s="52">
        <f>H36</f>
        <v>2000000</v>
      </c>
      <c r="J36" s="52">
        <f t="shared" ref="J36:L36" si="89">I36</f>
        <v>2000000</v>
      </c>
      <c r="K36" s="52">
        <f t="shared" si="89"/>
        <v>2000000</v>
      </c>
      <c r="L36" s="52">
        <f t="shared" si="89"/>
        <v>2000000</v>
      </c>
      <c r="M36" s="52">
        <f>'Coal Production'!E6</f>
        <v>2250000</v>
      </c>
      <c r="N36" s="52">
        <f>M36</f>
        <v>2250000</v>
      </c>
      <c r="O36" s="52">
        <f t="shared" ref="O36:Q36" si="90">N36</f>
        <v>2250000</v>
      </c>
      <c r="P36" s="52">
        <f t="shared" si="90"/>
        <v>2250000</v>
      </c>
      <c r="Q36" s="52">
        <f t="shared" si="90"/>
        <v>2250000</v>
      </c>
      <c r="R36" s="52">
        <f>'Coal Production'!F6</f>
        <v>2250000</v>
      </c>
      <c r="S36" s="52">
        <f>R36</f>
        <v>2250000</v>
      </c>
      <c r="T36" s="52">
        <f t="shared" ref="T36:V36" si="91">S36</f>
        <v>2250000</v>
      </c>
      <c r="U36" s="52">
        <f t="shared" si="91"/>
        <v>2250000</v>
      </c>
      <c r="V36" s="52">
        <f t="shared" si="91"/>
        <v>2250000</v>
      </c>
      <c r="W36" s="52">
        <f>'Coal Production'!G6</f>
        <v>2250000</v>
      </c>
      <c r="X36" s="52">
        <f>W36</f>
        <v>2250000</v>
      </c>
      <c r="Y36" s="52">
        <f t="shared" ref="Y36:AA36" si="92">X36</f>
        <v>2250000</v>
      </c>
      <c r="Z36" s="52">
        <f t="shared" si="92"/>
        <v>2250000</v>
      </c>
      <c r="AA36" s="52">
        <f t="shared" si="92"/>
        <v>2250000</v>
      </c>
      <c r="AB36" s="52">
        <f>'Coal Production'!H6</f>
        <v>2250000</v>
      </c>
      <c r="AC36" s="52">
        <f>AB36</f>
        <v>2250000</v>
      </c>
      <c r="AD36" s="52">
        <f t="shared" ref="AD36:AE36" si="93">AC36</f>
        <v>2250000</v>
      </c>
      <c r="AE36" s="52">
        <f t="shared" si="93"/>
        <v>2250000</v>
      </c>
      <c r="AF36" s="52">
        <v>750000</v>
      </c>
      <c r="AG36" s="52">
        <v>750000</v>
      </c>
      <c r="AH36" s="52"/>
      <c r="AI36" s="52"/>
      <c r="AJ36" s="26">
        <f>SUM(E36:AI36)</f>
        <v>57650000</v>
      </c>
    </row>
    <row r="38" spans="1:37" customFormat="1" hidden="1" x14ac:dyDescent="0.2">
      <c r="B38" s="53" t="s">
        <v>407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customFormat="1" hidden="1" x14ac:dyDescent="0.2">
      <c r="B39" s="54" t="s">
        <v>408</v>
      </c>
      <c r="C39" s="55" t="s">
        <v>409</v>
      </c>
      <c r="D39" s="55">
        <v>2023</v>
      </c>
      <c r="E39" s="55">
        <v>2024</v>
      </c>
      <c r="F39" s="55">
        <v>2025</v>
      </c>
      <c r="G39" s="55">
        <v>2026</v>
      </c>
      <c r="H39" s="55">
        <v>2027</v>
      </c>
      <c r="I39" s="55">
        <v>2028</v>
      </c>
      <c r="J39" s="55">
        <v>2029</v>
      </c>
      <c r="K39" s="55">
        <v>2030</v>
      </c>
      <c r="L39" s="55">
        <v>2031</v>
      </c>
      <c r="M39" s="55">
        <v>2032</v>
      </c>
      <c r="N39" s="55">
        <v>2033</v>
      </c>
      <c r="O39" s="55">
        <v>2034</v>
      </c>
      <c r="P39" s="55">
        <v>2035</v>
      </c>
      <c r="Q39" s="55">
        <v>2036</v>
      </c>
      <c r="R39" s="55">
        <v>2037</v>
      </c>
      <c r="S39" s="55">
        <v>2038</v>
      </c>
      <c r="T39" s="55">
        <v>2039</v>
      </c>
      <c r="U39" s="55">
        <v>2040</v>
      </c>
      <c r="V39" s="55">
        <v>2041</v>
      </c>
      <c r="W39" s="55">
        <v>2042</v>
      </c>
      <c r="X39" s="55">
        <v>2043</v>
      </c>
      <c r="Y39" s="55">
        <v>2044</v>
      </c>
      <c r="Z39" s="55">
        <v>2045</v>
      </c>
      <c r="AA39" s="55">
        <v>2046</v>
      </c>
      <c r="AB39" s="55">
        <v>2047</v>
      </c>
      <c r="AC39" s="55">
        <v>2048</v>
      </c>
      <c r="AD39" s="55">
        <v>2049</v>
      </c>
      <c r="AE39" s="55">
        <v>2050</v>
      </c>
      <c r="AF39" s="55">
        <v>2051</v>
      </c>
      <c r="AG39" s="55">
        <v>2052</v>
      </c>
      <c r="AH39" s="55">
        <v>2053</v>
      </c>
      <c r="AI39" s="55">
        <v>2054</v>
      </c>
      <c r="AJ39" s="55">
        <v>2055</v>
      </c>
      <c r="AK39" s="23"/>
    </row>
    <row r="40" spans="1:37" customFormat="1" hidden="1" x14ac:dyDescent="0.2">
      <c r="B40" s="54" t="s">
        <v>410</v>
      </c>
      <c r="C40" s="56">
        <f>SUM(D40:AJ40)</f>
        <v>8113</v>
      </c>
      <c r="D40" s="57">
        <v>0</v>
      </c>
      <c r="E40" s="57">
        <v>0</v>
      </c>
      <c r="F40" s="57">
        <v>0</v>
      </c>
      <c r="G40" s="57">
        <v>0</v>
      </c>
      <c r="H40" s="57">
        <v>0</v>
      </c>
      <c r="I40" s="57">
        <v>9.465616215513462</v>
      </c>
      <c r="J40" s="57">
        <v>185.35926033060466</v>
      </c>
      <c r="K40" s="57">
        <v>269.83200932279664</v>
      </c>
      <c r="L40" s="57">
        <v>418.90178162589029</v>
      </c>
      <c r="M40" s="57">
        <v>433.43161820732217</v>
      </c>
      <c r="N40" s="57">
        <v>418.73473855744908</v>
      </c>
      <c r="O40" s="57">
        <v>412.14282490004621</v>
      </c>
      <c r="P40" s="57">
        <v>408.21137898459278</v>
      </c>
      <c r="Q40" s="57">
        <v>437.89188991933571</v>
      </c>
      <c r="R40" s="57">
        <v>454.69921433619629</v>
      </c>
      <c r="S40" s="57">
        <v>452.02920120308647</v>
      </c>
      <c r="T40" s="57">
        <v>430.82703617246932</v>
      </c>
      <c r="U40" s="57">
        <v>435.53420935508956</v>
      </c>
      <c r="V40" s="57">
        <v>437.97864935523535</v>
      </c>
      <c r="W40" s="57">
        <v>411.36442126077651</v>
      </c>
      <c r="X40" s="57">
        <v>396.26785449343237</v>
      </c>
      <c r="Y40" s="57">
        <v>400.648245533752</v>
      </c>
      <c r="Z40" s="57">
        <v>402.99858809261167</v>
      </c>
      <c r="AA40" s="57">
        <v>403.43231817735671</v>
      </c>
      <c r="AB40" s="57">
        <v>305.29418856840118</v>
      </c>
      <c r="AC40" s="57">
        <v>203.56021681495611</v>
      </c>
      <c r="AD40" s="57">
        <v>177.84186403970298</v>
      </c>
      <c r="AE40" s="57">
        <v>177.16394085229231</v>
      </c>
      <c r="AF40" s="57">
        <v>29.38893368108868</v>
      </c>
      <c r="AG40" s="57">
        <v>0</v>
      </c>
      <c r="AH40" s="57">
        <v>0</v>
      </c>
      <c r="AI40" s="57">
        <v>0</v>
      </c>
      <c r="AJ40" s="57">
        <v>0</v>
      </c>
      <c r="AK40" s="23"/>
    </row>
    <row r="41" spans="1:37" customFormat="1" hidden="1" x14ac:dyDescent="0.2">
      <c r="B41" s="54" t="s">
        <v>411</v>
      </c>
      <c r="C41" s="56">
        <f>SUM(D41:AJ41)</f>
        <v>11788.999999999998</v>
      </c>
      <c r="D41" s="57">
        <v>0</v>
      </c>
      <c r="E41" s="57">
        <v>51.492361159505535</v>
      </c>
      <c r="F41" s="57">
        <v>422.3394843420312</v>
      </c>
      <c r="G41" s="57">
        <v>431.79046689363867</v>
      </c>
      <c r="H41" s="57">
        <v>560.16961436802944</v>
      </c>
      <c r="I41" s="57">
        <v>663.64036897818266</v>
      </c>
      <c r="J41" s="57">
        <v>477.52955632025413</v>
      </c>
      <c r="K41" s="57">
        <v>468.14141769117151</v>
      </c>
      <c r="L41" s="57">
        <v>454.39660443417745</v>
      </c>
      <c r="M41" s="57">
        <v>432.43895165502306</v>
      </c>
      <c r="N41" s="57">
        <v>412.84709211299037</v>
      </c>
      <c r="O41" s="57">
        <v>437.54760091795367</v>
      </c>
      <c r="P41" s="57">
        <v>411.17297266249153</v>
      </c>
      <c r="Q41" s="57">
        <v>405.17686458206771</v>
      </c>
      <c r="R41" s="57">
        <v>397.07725139175255</v>
      </c>
      <c r="S41" s="57">
        <v>445.32704700198707</v>
      </c>
      <c r="T41" s="57">
        <v>447.9489158228327</v>
      </c>
      <c r="U41" s="57">
        <v>456.37963312880572</v>
      </c>
      <c r="V41" s="57">
        <v>462.66919521888354</v>
      </c>
      <c r="W41" s="57">
        <v>419.68010845486418</v>
      </c>
      <c r="X41" s="57">
        <v>372.18392777015833</v>
      </c>
      <c r="Y41" s="57">
        <v>249.40912576550261</v>
      </c>
      <c r="Z41" s="57">
        <v>235.22255753908547</v>
      </c>
      <c r="AA41" s="57">
        <v>259.29469828003511</v>
      </c>
      <c r="AB41" s="57">
        <v>233.9569084543439</v>
      </c>
      <c r="AC41" s="57">
        <v>223.34592412073243</v>
      </c>
      <c r="AD41" s="57">
        <v>234.68682466566773</v>
      </c>
      <c r="AE41" s="57">
        <v>235.14082800504906</v>
      </c>
      <c r="AF41" s="57">
        <v>386.94122630241367</v>
      </c>
      <c r="AG41" s="57">
        <v>428.90437079303268</v>
      </c>
      <c r="AH41" s="57">
        <v>234.3890004366869</v>
      </c>
      <c r="AI41" s="57">
        <v>220.31594431396371</v>
      </c>
      <c r="AJ41" s="57">
        <v>217.44315641668504</v>
      </c>
      <c r="AK41" s="23"/>
    </row>
    <row r="42" spans="1:37" customFormat="1" hidden="1" x14ac:dyDescent="0.2">
      <c r="B42" s="54" t="s">
        <v>406</v>
      </c>
      <c r="C42" s="56">
        <f>SUM(D42:AJ42)</f>
        <v>26220.999999999996</v>
      </c>
      <c r="D42" s="57">
        <v>89.576553422773685</v>
      </c>
      <c r="E42" s="57">
        <v>325.62200593925786</v>
      </c>
      <c r="F42" s="57">
        <v>501.97969498831372</v>
      </c>
      <c r="G42" s="57">
        <v>870.49689307359642</v>
      </c>
      <c r="H42" s="57">
        <v>876.90452022044053</v>
      </c>
      <c r="I42" s="57">
        <v>900.02898895490523</v>
      </c>
      <c r="J42" s="57">
        <v>970.64427382897122</v>
      </c>
      <c r="K42" s="57">
        <v>1031.9078683984353</v>
      </c>
      <c r="L42" s="57">
        <v>999.48293309130429</v>
      </c>
      <c r="M42" s="57">
        <v>962.35901015308752</v>
      </c>
      <c r="N42" s="57">
        <v>902.83880870395728</v>
      </c>
      <c r="O42" s="57">
        <v>881.13954497667635</v>
      </c>
      <c r="P42" s="57">
        <v>907.50756781734106</v>
      </c>
      <c r="Q42" s="57">
        <v>925.79741540617943</v>
      </c>
      <c r="R42" s="57">
        <v>954.7309033934298</v>
      </c>
      <c r="S42" s="57">
        <v>989.62635982073391</v>
      </c>
      <c r="T42" s="57">
        <v>996.97882222492262</v>
      </c>
      <c r="U42" s="57">
        <v>1072.0467676583048</v>
      </c>
      <c r="V42" s="57">
        <v>1159.6465199739305</v>
      </c>
      <c r="W42" s="57">
        <v>1156.6163565428694</v>
      </c>
      <c r="X42" s="57">
        <v>1106.0302580109187</v>
      </c>
      <c r="Y42" s="57">
        <v>1047.5290062035615</v>
      </c>
      <c r="Z42" s="57">
        <v>1038.037694310605</v>
      </c>
      <c r="AA42" s="57">
        <v>1035.7609682568223</v>
      </c>
      <c r="AB42" s="57">
        <v>949.2378063353334</v>
      </c>
      <c r="AC42" s="57">
        <v>917.13682001434813</v>
      </c>
      <c r="AD42" s="57">
        <v>926.92010385342155</v>
      </c>
      <c r="AE42" s="57">
        <v>874.82697787961069</v>
      </c>
      <c r="AF42" s="57">
        <v>512.99293513146631</v>
      </c>
      <c r="AG42" s="57">
        <v>290.25962966533507</v>
      </c>
      <c r="AH42" s="57">
        <v>46.335991749141975</v>
      </c>
      <c r="AI42" s="57">
        <v>0</v>
      </c>
      <c r="AJ42" s="57">
        <v>0</v>
      </c>
      <c r="AK42" s="23"/>
    </row>
    <row r="43" spans="1:37" customFormat="1" hidden="1" x14ac:dyDescent="0.2">
      <c r="B43" s="54" t="s">
        <v>412</v>
      </c>
      <c r="C43" s="56">
        <f>SUM(D43:AJ43)</f>
        <v>14708</v>
      </c>
      <c r="D43" s="57">
        <v>0</v>
      </c>
      <c r="E43" s="57">
        <v>0</v>
      </c>
      <c r="F43" s="57">
        <v>906.39642789904667</v>
      </c>
      <c r="G43" s="57">
        <v>1057.1167405388692</v>
      </c>
      <c r="H43" s="57">
        <v>1092.7751322638985</v>
      </c>
      <c r="I43" s="57">
        <v>1042.0351459106546</v>
      </c>
      <c r="J43" s="57">
        <v>1014.1264822045792</v>
      </c>
      <c r="K43" s="57">
        <v>1032.6999569602604</v>
      </c>
      <c r="L43" s="57">
        <v>1015.988712874185</v>
      </c>
      <c r="M43" s="57">
        <v>1034.1035493178085</v>
      </c>
      <c r="N43" s="57">
        <v>940.85914817822697</v>
      </c>
      <c r="O43" s="57">
        <v>992.14035669075258</v>
      </c>
      <c r="P43" s="57">
        <v>1024.2499430675821</v>
      </c>
      <c r="Q43" s="57">
        <v>1050.0735884982719</v>
      </c>
      <c r="R43" s="57">
        <v>1059.4032540261487</v>
      </c>
      <c r="S43" s="57">
        <v>1006.2910588217852</v>
      </c>
      <c r="T43" s="57">
        <v>439.74050274793046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  <c r="AA43" s="57"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23"/>
    </row>
    <row r="44" spans="1:37" s="1" customFormat="1" hidden="1" x14ac:dyDescent="0.2">
      <c r="B44" s="302" t="s">
        <v>409</v>
      </c>
      <c r="C44" s="303">
        <f>SUM(D44:AJ44)</f>
        <v>60831</v>
      </c>
      <c r="D44" s="304">
        <f>SUM(D40:D43)</f>
        <v>89.576553422773685</v>
      </c>
      <c r="E44" s="304">
        <f t="shared" ref="E44:AJ44" si="94">SUM(E40:E43)</f>
        <v>377.11436709876341</v>
      </c>
      <c r="F44" s="304">
        <f t="shared" si="94"/>
        <v>1830.7156072293915</v>
      </c>
      <c r="G44" s="304">
        <f t="shared" si="94"/>
        <v>2359.4041005061044</v>
      </c>
      <c r="H44" s="304">
        <f t="shared" si="94"/>
        <v>2529.8492668523686</v>
      </c>
      <c r="I44" s="304">
        <f t="shared" si="94"/>
        <v>2615.1701200592561</v>
      </c>
      <c r="J44" s="304">
        <f t="shared" si="94"/>
        <v>2647.6595726844093</v>
      </c>
      <c r="K44" s="304">
        <f t="shared" si="94"/>
        <v>2802.5812523726636</v>
      </c>
      <c r="L44" s="304">
        <f t="shared" si="94"/>
        <v>2888.7700320255572</v>
      </c>
      <c r="M44" s="304">
        <f t="shared" si="94"/>
        <v>2862.3331293332412</v>
      </c>
      <c r="N44" s="304">
        <f t="shared" si="94"/>
        <v>2675.2797875526235</v>
      </c>
      <c r="O44" s="304">
        <f t="shared" si="94"/>
        <v>2722.9703274854287</v>
      </c>
      <c r="P44" s="304">
        <f t="shared" si="94"/>
        <v>2751.1418625320075</v>
      </c>
      <c r="Q44" s="304">
        <f t="shared" si="94"/>
        <v>2818.9397584058547</v>
      </c>
      <c r="R44" s="304">
        <f t="shared" si="94"/>
        <v>2865.9106231475271</v>
      </c>
      <c r="S44" s="304">
        <f t="shared" si="94"/>
        <v>2893.2736668475927</v>
      </c>
      <c r="T44" s="304">
        <f t="shared" si="94"/>
        <v>2315.4952769681549</v>
      </c>
      <c r="U44" s="304">
        <f t="shared" si="94"/>
        <v>1963.9606101422</v>
      </c>
      <c r="V44" s="304">
        <f t="shared" si="94"/>
        <v>2060.2943645480491</v>
      </c>
      <c r="W44" s="304">
        <f t="shared" si="94"/>
        <v>1987.6608862585101</v>
      </c>
      <c r="X44" s="304">
        <f t="shared" si="94"/>
        <v>1874.4820402745095</v>
      </c>
      <c r="Y44" s="304">
        <f t="shared" si="94"/>
        <v>1697.586377502816</v>
      </c>
      <c r="Z44" s="304">
        <f t="shared" si="94"/>
        <v>1676.2588399423021</v>
      </c>
      <c r="AA44" s="304">
        <f t="shared" si="94"/>
        <v>1698.487984714214</v>
      </c>
      <c r="AB44" s="304">
        <f t="shared" si="94"/>
        <v>1488.4889033580785</v>
      </c>
      <c r="AC44" s="304">
        <f t="shared" si="94"/>
        <v>1344.0429609500366</v>
      </c>
      <c r="AD44" s="304">
        <f t="shared" si="94"/>
        <v>1339.4487925587923</v>
      </c>
      <c r="AE44" s="304">
        <f t="shared" si="94"/>
        <v>1287.1317467369522</v>
      </c>
      <c r="AF44" s="304">
        <f t="shared" si="94"/>
        <v>929.32309511496874</v>
      </c>
      <c r="AG44" s="304">
        <f t="shared" si="94"/>
        <v>719.16400045836781</v>
      </c>
      <c r="AH44" s="304">
        <f t="shared" si="94"/>
        <v>280.72499218582885</v>
      </c>
      <c r="AI44" s="304">
        <f t="shared" si="94"/>
        <v>220.31594431396371</v>
      </c>
      <c r="AJ44" s="304">
        <f t="shared" si="94"/>
        <v>217.44315641668504</v>
      </c>
      <c r="AK44" s="301"/>
    </row>
    <row r="45" spans="1:37" s="1" customFormat="1" x14ac:dyDescent="0.2">
      <c r="B45" s="310"/>
      <c r="C45" s="311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01"/>
    </row>
    <row r="46" spans="1:37" s="1" customFormat="1" x14ac:dyDescent="0.2">
      <c r="B46" s="310"/>
      <c r="C46" s="311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01"/>
    </row>
    <row r="47" spans="1:37" s="1" customFormat="1" x14ac:dyDescent="0.2">
      <c r="A47" s="1" t="s">
        <v>856</v>
      </c>
      <c r="B47" s="310"/>
      <c r="C47" s="311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01"/>
    </row>
    <row r="48" spans="1:37" customFormat="1" x14ac:dyDescent="0.2"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2:37" customFormat="1" x14ac:dyDescent="0.2">
      <c r="B49" s="53" t="s">
        <v>413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2:37" customFormat="1" ht="48" x14ac:dyDescent="0.2">
      <c r="B50" s="58" t="s">
        <v>408</v>
      </c>
      <c r="C50" s="58" t="s">
        <v>414</v>
      </c>
      <c r="D50" s="59" t="s">
        <v>415</v>
      </c>
      <c r="E50" s="60" t="s">
        <v>416</v>
      </c>
      <c r="F50" s="58" t="s">
        <v>417</v>
      </c>
      <c r="G50" s="59" t="s">
        <v>418</v>
      </c>
      <c r="H50" s="59" t="s">
        <v>419</v>
      </c>
      <c r="I50" s="59" t="s">
        <v>420</v>
      </c>
      <c r="J50" s="59" t="s">
        <v>421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2:37" customFormat="1" x14ac:dyDescent="0.2">
      <c r="B51" s="54" t="s">
        <v>845</v>
      </c>
      <c r="C51" s="61">
        <f>C40</f>
        <v>8113</v>
      </c>
      <c r="D51" s="61">
        <v>17940.462366841242</v>
      </c>
      <c r="E51" s="62">
        <f>D51/C51</f>
        <v>2.2113228604512809</v>
      </c>
      <c r="F51" s="57">
        <v>11344</v>
      </c>
      <c r="G51" s="63">
        <f>C51*2000*F51</f>
        <v>184067744000</v>
      </c>
      <c r="H51" s="64">
        <f>G51/3412.14</f>
        <v>53944956.537539497</v>
      </c>
      <c r="I51" s="65">
        <f>D51/H51*1000000</f>
        <v>332.56978072374085</v>
      </c>
      <c r="J51" s="66">
        <f>I51/0.33</f>
        <v>1007.7872143143661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2:37" customFormat="1" x14ac:dyDescent="0.2">
      <c r="B52" s="54" t="s">
        <v>849</v>
      </c>
      <c r="C52" s="61">
        <f>C41</f>
        <v>11788.999999999998</v>
      </c>
      <c r="D52" s="61">
        <v>25401.8515208971</v>
      </c>
      <c r="E52" s="62">
        <f>D52/C52</f>
        <v>2.1547079074473752</v>
      </c>
      <c r="F52" s="57">
        <v>11012</v>
      </c>
      <c r="G52" s="63">
        <f>C52*2000*F52</f>
        <v>259640935999.99997</v>
      </c>
      <c r="H52" s="64">
        <f>G52/3412.14</f>
        <v>76093283.39399907</v>
      </c>
      <c r="I52" s="65">
        <f>D52/H52*1000000</f>
        <v>333.82514708125166</v>
      </c>
      <c r="J52" s="66">
        <f>I52/0.33</f>
        <v>1011.5913547916716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2:37" customFormat="1" x14ac:dyDescent="0.2">
      <c r="B53" s="54" t="s">
        <v>847</v>
      </c>
      <c r="C53" s="61">
        <f>C42</f>
        <v>26220.999999999996</v>
      </c>
      <c r="D53" s="61">
        <v>59015.645660839335</v>
      </c>
      <c r="E53" s="62">
        <f>D53/C53</f>
        <v>2.2507015621387185</v>
      </c>
      <c r="F53" s="57">
        <v>11709</v>
      </c>
      <c r="G53" s="63">
        <f>C53*2000*F53</f>
        <v>614043377999.99988</v>
      </c>
      <c r="H53" s="64">
        <f>G53/3412.14</f>
        <v>179958436.05479255</v>
      </c>
      <c r="I53" s="65">
        <f>D53/H53*1000000</f>
        <v>327.94042310342508</v>
      </c>
      <c r="J53" s="66">
        <f>I53/0.33</f>
        <v>993.75885788916685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2:37" customFormat="1" x14ac:dyDescent="0.2">
      <c r="B54" s="54" t="s">
        <v>848</v>
      </c>
      <c r="C54" s="61">
        <f>C43</f>
        <v>14708</v>
      </c>
      <c r="D54" s="61">
        <v>32484.183694765059</v>
      </c>
      <c r="E54" s="62">
        <f>D54/C54</f>
        <v>2.2086064519149482</v>
      </c>
      <c r="F54" s="57">
        <v>11405</v>
      </c>
      <c r="G54" s="63">
        <f>C54*2000*F54</f>
        <v>335489480000</v>
      </c>
      <c r="H54" s="64">
        <f>G54/3412.14</f>
        <v>98322307.994396478</v>
      </c>
      <c r="I54" s="65">
        <f>D54/H54*1000000</f>
        <v>330.38467421468971</v>
      </c>
      <c r="J54" s="66">
        <f>I54/0.33</f>
        <v>1001.1656794384536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6" spans="2:37" x14ac:dyDescent="0.2">
      <c r="J56" s="27">
        <f>(J51+J52+J53+J54)/4</f>
        <v>1003.5757766084146</v>
      </c>
    </row>
    <row r="57" spans="2:37" x14ac:dyDescent="0.2">
      <c r="B57" s="58" t="s">
        <v>408</v>
      </c>
      <c r="C57" s="58" t="s">
        <v>414</v>
      </c>
      <c r="D57" s="305" t="s">
        <v>422</v>
      </c>
    </row>
    <row r="58" spans="2:37" x14ac:dyDescent="0.2">
      <c r="B58" s="54" t="s">
        <v>845</v>
      </c>
      <c r="C58" s="61">
        <f>C51</f>
        <v>8113</v>
      </c>
      <c r="D58" s="306">
        <f>C58/$C$62</f>
        <v>0.13336949910407522</v>
      </c>
    </row>
    <row r="59" spans="2:37" x14ac:dyDescent="0.2">
      <c r="B59" s="54" t="s">
        <v>846</v>
      </c>
      <c r="C59" s="61">
        <f t="shared" ref="C59:C61" si="95">C52</f>
        <v>11788.999999999998</v>
      </c>
      <c r="D59" s="306">
        <f t="shared" ref="D59:D61" si="96">C59/$C$62</f>
        <v>0.19379921421643567</v>
      </c>
    </row>
    <row r="60" spans="2:37" x14ac:dyDescent="0.2">
      <c r="B60" s="54" t="s">
        <v>847</v>
      </c>
      <c r="C60" s="61">
        <f t="shared" si="95"/>
        <v>26220.999999999996</v>
      </c>
      <c r="D60" s="306">
        <f t="shared" si="96"/>
        <v>0.43104667028324367</v>
      </c>
    </row>
    <row r="61" spans="2:37" x14ac:dyDescent="0.2">
      <c r="B61" s="54" t="s">
        <v>848</v>
      </c>
      <c r="C61" s="61">
        <f t="shared" si="95"/>
        <v>14708</v>
      </c>
      <c r="D61" s="306">
        <f t="shared" si="96"/>
        <v>0.24178461639624532</v>
      </c>
    </row>
    <row r="62" spans="2:37" x14ac:dyDescent="0.2">
      <c r="C62" s="26">
        <f>SUM(C58:C61)</f>
        <v>60831</v>
      </c>
      <c r="D62" s="51">
        <f>SUM(D58:D61)</f>
        <v>1</v>
      </c>
    </row>
  </sheetData>
  <mergeCells count="1">
    <mergeCell ref="E7:AC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D873D-04E3-4FFB-836B-CDD8E845D1C4}">
  <sheetPr>
    <tabColor theme="6"/>
  </sheetPr>
  <dimension ref="A1:U72"/>
  <sheetViews>
    <sheetView topLeftCell="D1" workbookViewId="0">
      <selection activeCell="J4" sqref="J4:J10"/>
    </sheetView>
  </sheetViews>
  <sheetFormatPr baseColWidth="10" defaultColWidth="11" defaultRowHeight="16" x14ac:dyDescent="0.2"/>
  <cols>
    <col min="3" max="3" width="13.6640625" customWidth="1"/>
    <col min="5" max="5" width="14" customWidth="1"/>
    <col min="10" max="10" width="14.6640625" customWidth="1"/>
  </cols>
  <sheetData>
    <row r="1" spans="1:11" x14ac:dyDescent="0.2">
      <c r="A1" s="4" t="s">
        <v>577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68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35" t="s">
        <v>527</v>
      </c>
      <c r="J3" s="39" t="s">
        <v>460</v>
      </c>
      <c r="K3" s="213"/>
    </row>
    <row r="4" spans="1:11" x14ac:dyDescent="0.2">
      <c r="A4" s="4"/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A5" s="4"/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A6" s="4"/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A7" s="4"/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A8" s="4"/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A9" s="4"/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A10" s="4"/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A12" s="4"/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20" ht="19" x14ac:dyDescent="0.2">
      <c r="A17" s="4"/>
      <c r="B17" s="331" t="s">
        <v>576</v>
      </c>
      <c r="C17" s="332"/>
      <c r="D17" s="332"/>
      <c r="E17" s="332"/>
      <c r="F17" s="332"/>
      <c r="G17" s="332"/>
      <c r="H17" s="332"/>
      <c r="I17" s="332"/>
      <c r="J17" s="191"/>
      <c r="K17" s="4"/>
      <c r="L17" s="166" t="s">
        <v>551</v>
      </c>
      <c r="T17" s="165"/>
    </row>
    <row r="18" spans="1:20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80" t="s">
        <v>520</v>
      </c>
      <c r="J18" s="221" t="s">
        <v>463</v>
      </c>
      <c r="K18" s="4"/>
      <c r="L18" s="166" t="s">
        <v>550</v>
      </c>
      <c r="T18" s="165"/>
    </row>
    <row r="19" spans="1:20" x14ac:dyDescent="0.2">
      <c r="A19" s="4"/>
      <c r="B19" s="99"/>
      <c r="C19" s="188"/>
      <c r="D19" s="188"/>
      <c r="E19" s="188"/>
      <c r="F19" s="188"/>
      <c r="G19" s="188"/>
      <c r="H19" s="188"/>
      <c r="I19" s="188"/>
      <c r="J19" s="182"/>
      <c r="K19" s="4"/>
      <c r="T19" s="165"/>
    </row>
    <row r="20" spans="1:20" x14ac:dyDescent="0.2">
      <c r="A20" s="4"/>
      <c r="B20" s="99">
        <v>2020</v>
      </c>
      <c r="C20" s="184">
        <f>M27/1000</f>
        <v>0.15856934516524171</v>
      </c>
      <c r="D20" s="184">
        <f>M26/1000</f>
        <v>0.17305359555661248</v>
      </c>
      <c r="E20" s="184">
        <f>M28/1000</f>
        <v>0.178132550603257</v>
      </c>
      <c r="F20" s="184">
        <f>M30/1000</f>
        <v>3.30835246472905E-3</v>
      </c>
      <c r="G20" s="184">
        <f>M33/1000</f>
        <v>9.7387101000000094E-3</v>
      </c>
      <c r="H20" s="184">
        <f>M31/1000</f>
        <v>2.5872000000000091E-3</v>
      </c>
      <c r="I20" s="184">
        <f>(M25+M32+M34)/1000</f>
        <v>2.4001613065354959E-2</v>
      </c>
      <c r="J20" s="182">
        <f t="shared" ref="J20:J26" si="2">SUM(C20:I20)</f>
        <v>0.5493913669551953</v>
      </c>
      <c r="K20" s="4"/>
      <c r="L20" s="169" t="s">
        <v>575</v>
      </c>
      <c r="T20" s="165"/>
    </row>
    <row r="21" spans="1:20" x14ac:dyDescent="0.2">
      <c r="A21" s="4"/>
      <c r="B21" s="99">
        <v>2025</v>
      </c>
      <c r="C21" s="184">
        <f>N27/1000</f>
        <v>0.1394867540620722</v>
      </c>
      <c r="D21" s="184">
        <f>N26/1000</f>
        <v>0.19716344144572362</v>
      </c>
      <c r="E21" s="184">
        <f>N28/1000</f>
        <v>0.22760035251951688</v>
      </c>
      <c r="F21" s="184">
        <f>N30/1000</f>
        <v>3.873835353235489E-3</v>
      </c>
      <c r="G21" s="184">
        <f>N33/1000</f>
        <v>1.5679491106816299E-2</v>
      </c>
      <c r="H21" s="184">
        <f>N31/1000</f>
        <v>9.4777072489050287E-3</v>
      </c>
      <c r="I21" s="184">
        <f>(N25+N32+N34)/1000</f>
        <v>2.213131557421438E-2</v>
      </c>
      <c r="J21" s="182">
        <f t="shared" si="2"/>
        <v>0.61541289731048399</v>
      </c>
      <c r="K21" s="4"/>
      <c r="L21" s="169"/>
      <c r="T21" s="165"/>
    </row>
    <row r="22" spans="1:20" x14ac:dyDescent="0.2">
      <c r="A22" s="4"/>
      <c r="B22" s="99">
        <v>2030</v>
      </c>
      <c r="C22" s="184">
        <f>O27/1000</f>
        <v>0.15243378825136619</v>
      </c>
      <c r="D22" s="184">
        <f>O26/1000</f>
        <v>0.2020493304979738</v>
      </c>
      <c r="E22" s="184">
        <f>O28/1000</f>
        <v>0.22760035251951688</v>
      </c>
      <c r="F22" s="184">
        <f>O30/1000</f>
        <v>4.4998013077253499E-3</v>
      </c>
      <c r="G22" s="184">
        <f>O33/1000</f>
        <v>2.07657390640648E-2</v>
      </c>
      <c r="H22" s="184">
        <f>O31/1000</f>
        <v>2.4388721655969999E-2</v>
      </c>
      <c r="I22" s="184">
        <f>(O25+O32+O34)/1000</f>
        <v>1.2513676236712663E-2</v>
      </c>
      <c r="J22" s="182">
        <f t="shared" si="2"/>
        <v>0.6442514095333296</v>
      </c>
      <c r="K22" s="4"/>
      <c r="L22" s="166" t="s">
        <v>544</v>
      </c>
      <c r="T22" s="165"/>
    </row>
    <row r="23" spans="1:20" x14ac:dyDescent="0.2">
      <c r="A23" s="4"/>
      <c r="B23" s="99">
        <v>2035</v>
      </c>
      <c r="C23" s="184">
        <f>P27/1000</f>
        <v>0.15746586796931419</v>
      </c>
      <c r="D23" s="184">
        <f>P26/1000</f>
        <v>0.1810926594839227</v>
      </c>
      <c r="E23" s="184">
        <f>P27/1000</f>
        <v>0.15746586796931419</v>
      </c>
      <c r="F23" s="184">
        <f>P30/1000</f>
        <v>4.5345730915442905E-3</v>
      </c>
      <c r="G23" s="184">
        <f>P33/1000</f>
        <v>2.34862181984196E-2</v>
      </c>
      <c r="H23" s="184">
        <f>P31/1000</f>
        <v>5.5348605110442789E-2</v>
      </c>
      <c r="I23" s="184">
        <f>(P25+P33+P35)/1000</f>
        <v>0.68305406155907733</v>
      </c>
      <c r="J23" s="182">
        <f t="shared" si="2"/>
        <v>1.2624478533820351</v>
      </c>
      <c r="K23" s="4"/>
      <c r="L23" s="166"/>
      <c r="T23" s="165"/>
    </row>
    <row r="24" spans="1:20" ht="18" customHeight="1" thickBot="1" x14ac:dyDescent="0.25">
      <c r="A24" s="4"/>
      <c r="B24" s="99">
        <v>2040</v>
      </c>
      <c r="C24" s="184">
        <f>Q27/1000</f>
        <v>0.16286949553662919</v>
      </c>
      <c r="D24" s="184">
        <f>Q26/1000</f>
        <v>0.159318923232664</v>
      </c>
      <c r="E24" s="184">
        <f>Q28/1000</f>
        <v>0.19613609639177201</v>
      </c>
      <c r="F24" s="184">
        <f>Q30/1000</f>
        <v>4.5345730915442905E-3</v>
      </c>
      <c r="G24" s="184">
        <f>Q33/1000</f>
        <v>2.34862181984196E-2</v>
      </c>
      <c r="H24" s="184">
        <f>Q31/1000</f>
        <v>0.11343092710090601</v>
      </c>
      <c r="I24" s="184">
        <f>(Q25+Q32+Q34)/1000</f>
        <v>1.0627185942434475E-2</v>
      </c>
      <c r="J24" s="182">
        <f t="shared" si="2"/>
        <v>0.67040341949436943</v>
      </c>
      <c r="K24" s="4"/>
      <c r="L24" s="160" t="s">
        <v>543</v>
      </c>
      <c r="M24" s="160">
        <v>2020</v>
      </c>
      <c r="N24" s="160">
        <v>2025</v>
      </c>
      <c r="O24" s="160">
        <v>2030</v>
      </c>
      <c r="P24" s="160">
        <v>2035</v>
      </c>
      <c r="Q24" s="160">
        <v>2040</v>
      </c>
      <c r="R24" s="160">
        <v>2045</v>
      </c>
      <c r="S24" s="160">
        <v>2050</v>
      </c>
      <c r="T24" s="159" t="s">
        <v>542</v>
      </c>
    </row>
    <row r="25" spans="1:20" ht="17" thickTop="1" x14ac:dyDescent="0.2">
      <c r="A25" s="4"/>
      <c r="B25" s="99">
        <v>2045</v>
      </c>
      <c r="C25" s="184">
        <f>R27/1000</f>
        <v>0.1608980404873544</v>
      </c>
      <c r="D25" s="184">
        <f>R26/1000</f>
        <v>0.13131172137324462</v>
      </c>
      <c r="E25" s="184">
        <f>R28/1000</f>
        <v>0.18640592639110901</v>
      </c>
      <c r="F25" s="184">
        <f>R30/1000</f>
        <v>4.5345730915442905E-3</v>
      </c>
      <c r="G25" s="184">
        <f>R33/1000</f>
        <v>2.34862181984196E-2</v>
      </c>
      <c r="H25" s="184">
        <f>R31/1000</f>
        <v>0.16650540296204699</v>
      </c>
      <c r="I25" s="184">
        <f>(R25+R32+R34)/1000</f>
        <v>1.0557591939631515E-2</v>
      </c>
      <c r="J25" s="182">
        <f t="shared" si="2"/>
        <v>0.68369947444335033</v>
      </c>
      <c r="K25" s="4"/>
      <c r="L25" s="150" t="s">
        <v>541</v>
      </c>
      <c r="M25" s="150">
        <v>13.123624257286121</v>
      </c>
      <c r="N25" s="150">
        <v>12.011086203742259</v>
      </c>
      <c r="O25" s="150">
        <v>2.2833908488836032</v>
      </c>
      <c r="P25" s="150">
        <v>0.13122118557030599</v>
      </c>
      <c r="Q25" s="150">
        <v>0.13122118557030579</v>
      </c>
      <c r="R25" s="150">
        <v>0.13122118557030599</v>
      </c>
      <c r="S25" s="150">
        <v>0.1312211855703059</v>
      </c>
      <c r="T25" s="149">
        <v>-14.230738176451339</v>
      </c>
    </row>
    <row r="26" spans="1:20" x14ac:dyDescent="0.2">
      <c r="A26" s="4"/>
      <c r="B26" s="98">
        <v>2050</v>
      </c>
      <c r="C26" s="184">
        <f>S27/1000</f>
        <v>0.16107049763490161</v>
      </c>
      <c r="D26" s="184">
        <f>S26/1000</f>
        <v>0.13131172137324448</v>
      </c>
      <c r="E26" s="184">
        <f>S28/1000</f>
        <v>0.18251385839084303</v>
      </c>
      <c r="F26" s="184">
        <f>S30/1000</f>
        <v>4.5345730915442905E-3</v>
      </c>
      <c r="G26" s="184">
        <f>S33/1000</f>
        <v>2.34862181984196E-2</v>
      </c>
      <c r="H26" s="184">
        <f>S31/1000</f>
        <v>0.18134716892105091</v>
      </c>
      <c r="I26" s="184">
        <f>(S25+S32+S34)/1000</f>
        <v>1.0804880761010334E-2</v>
      </c>
      <c r="J26" s="182">
        <f t="shared" si="2"/>
        <v>0.69506891837101437</v>
      </c>
      <c r="K26" s="4"/>
      <c r="L26" s="150" t="s">
        <v>540</v>
      </c>
      <c r="M26" s="150">
        <v>173.05359555661249</v>
      </c>
      <c r="N26" s="150">
        <v>197.16344144572361</v>
      </c>
      <c r="O26" s="150">
        <v>202.04933049797381</v>
      </c>
      <c r="P26" s="150">
        <v>181.09265948392269</v>
      </c>
      <c r="Q26" s="150">
        <v>159.31892323266399</v>
      </c>
      <c r="R26" s="150">
        <v>131.31172137324461</v>
      </c>
      <c r="S26" s="150">
        <v>131.3117213732445</v>
      </c>
      <c r="T26" s="149">
        <v>-0.91587110967786822</v>
      </c>
    </row>
    <row r="27" spans="1:20" x14ac:dyDescent="0.2">
      <c r="A27" s="4"/>
      <c r="B27" s="181"/>
      <c r="C27" s="180"/>
      <c r="D27" s="180"/>
      <c r="E27" s="180"/>
      <c r="F27" s="180"/>
      <c r="G27" s="180"/>
      <c r="H27" s="180"/>
      <c r="I27" s="180"/>
      <c r="J27" s="178"/>
      <c r="K27" s="4"/>
      <c r="L27" s="150" t="s">
        <v>446</v>
      </c>
      <c r="M27" s="150">
        <v>158.56934516524171</v>
      </c>
      <c r="N27" s="150">
        <v>139.48675406207221</v>
      </c>
      <c r="O27" s="150">
        <v>152.4337882513662</v>
      </c>
      <c r="P27" s="150">
        <v>157.46586796931419</v>
      </c>
      <c r="Q27" s="150">
        <v>162.86949553662919</v>
      </c>
      <c r="R27" s="150">
        <v>160.89804048735439</v>
      </c>
      <c r="S27" s="150">
        <v>161.07049763490161</v>
      </c>
      <c r="T27" s="149">
        <v>5.218072969983556E-2</v>
      </c>
    </row>
    <row r="28" spans="1:20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L28" s="150" t="s">
        <v>454</v>
      </c>
      <c r="M28" s="150">
        <v>178.13255060325699</v>
      </c>
      <c r="N28" s="150">
        <v>227.60035251951689</v>
      </c>
      <c r="O28" s="150">
        <v>227.60035251951689</v>
      </c>
      <c r="P28" s="150">
        <v>226.02717863381</v>
      </c>
      <c r="Q28" s="150">
        <v>196.13609639177201</v>
      </c>
      <c r="R28" s="150">
        <v>186.40592639110901</v>
      </c>
      <c r="S28" s="150">
        <v>182.51385839084301</v>
      </c>
      <c r="T28" s="149">
        <v>8.1026699080277709E-2</v>
      </c>
    </row>
    <row r="29" spans="1:20" ht="19" x14ac:dyDescent="0.2">
      <c r="A29" s="4"/>
      <c r="B29" s="331" t="s">
        <v>574</v>
      </c>
      <c r="C29" s="332"/>
      <c r="D29" s="332"/>
      <c r="E29" s="332"/>
      <c r="F29" s="332"/>
      <c r="G29" s="332"/>
      <c r="H29" s="332"/>
      <c r="I29" s="338"/>
      <c r="J29" s="4"/>
      <c r="L29" s="150" t="s">
        <v>539</v>
      </c>
      <c r="M29" s="150">
        <v>26.512251372797909</v>
      </c>
      <c r="N29" s="150">
        <v>39.151263079428936</v>
      </c>
      <c r="O29" s="150">
        <v>59.884547415589211</v>
      </c>
      <c r="P29" s="150">
        <v>94.719694902470366</v>
      </c>
      <c r="Q29" s="150">
        <v>151.94768314773401</v>
      </c>
      <c r="R29" s="150">
        <v>204.95256500607209</v>
      </c>
      <c r="S29" s="150">
        <v>220.0416197864549</v>
      </c>
      <c r="T29" s="149">
        <v>7.3087841440512946</v>
      </c>
    </row>
    <row r="30" spans="1:20" x14ac:dyDescent="0.2">
      <c r="A30" s="4"/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L30" s="150" t="s">
        <v>538</v>
      </c>
      <c r="M30" s="150">
        <v>3.3083524647290501</v>
      </c>
      <c r="N30" s="150">
        <v>3.873835353235489</v>
      </c>
      <c r="O30" s="150">
        <v>4.4998013077253498</v>
      </c>
      <c r="P30" s="150">
        <v>4.5345730915442903</v>
      </c>
      <c r="Q30" s="150">
        <v>4.5345730915442903</v>
      </c>
      <c r="R30" s="150">
        <v>4.5345730915442903</v>
      </c>
      <c r="S30" s="150">
        <v>4.5345730915442903</v>
      </c>
      <c r="T30" s="149">
        <v>1.0564771293886781</v>
      </c>
    </row>
    <row r="31" spans="1:20" x14ac:dyDescent="0.2">
      <c r="A31" s="4"/>
      <c r="B31" s="99"/>
      <c r="C31" s="175"/>
      <c r="D31" s="175"/>
      <c r="E31" s="175"/>
      <c r="F31" s="175"/>
      <c r="G31" s="175"/>
      <c r="H31" s="175"/>
      <c r="I31" s="174"/>
      <c r="J31" s="8"/>
      <c r="L31" s="150" t="s">
        <v>537</v>
      </c>
      <c r="M31" s="150">
        <v>2.587200000000009</v>
      </c>
      <c r="N31" s="150">
        <v>9.4777072489050287</v>
      </c>
      <c r="O31" s="150">
        <v>24.388721655969999</v>
      </c>
      <c r="P31" s="150">
        <v>55.34860511044279</v>
      </c>
      <c r="Q31" s="150">
        <v>113.430927100906</v>
      </c>
      <c r="R31" s="150">
        <v>166.50540296204699</v>
      </c>
      <c r="S31" s="150">
        <v>181.34716892105089</v>
      </c>
      <c r="T31" s="149">
        <v>15.218626183092979</v>
      </c>
    </row>
    <row r="32" spans="1:20" x14ac:dyDescent="0.2">
      <c r="A32" s="4"/>
      <c r="B32" s="99">
        <v>2020</v>
      </c>
      <c r="C32" s="171">
        <f t="shared" ref="C32:C38" si="3">C20/J20</f>
        <v>0.28862729686499344</v>
      </c>
      <c r="D32" s="171">
        <f t="shared" ref="D32:D38" si="4">D20/J20</f>
        <v>0.31499147231908647</v>
      </c>
      <c r="E32" s="171">
        <f t="shared" ref="E32:E38" si="5">E20/J20</f>
        <v>0.32423616626976287</v>
      </c>
      <c r="F32" s="171">
        <f t="shared" ref="F32:F38" si="6">F20/J20</f>
        <v>6.0218501121785143E-3</v>
      </c>
      <c r="G32" s="171">
        <f t="shared" ref="G32:G38" si="7">G20/J20</f>
        <v>1.7726361726383359E-2</v>
      </c>
      <c r="H32" s="171">
        <f t="shared" ref="H32:H38" si="8">H20/J20</f>
        <v>4.7092112392275792E-3</v>
      </c>
      <c r="I32" s="170">
        <f t="shared" ref="I32:I38" si="9">I20/J20</f>
        <v>4.3687641468367615E-2</v>
      </c>
      <c r="J32" s="4"/>
      <c r="L32" s="150" t="s">
        <v>536</v>
      </c>
      <c r="M32" s="150">
        <v>0</v>
      </c>
      <c r="N32" s="150">
        <v>0</v>
      </c>
      <c r="O32" s="150">
        <v>0</v>
      </c>
      <c r="P32" s="150">
        <v>5.4953977558803999E-3</v>
      </c>
      <c r="Q32" s="150">
        <v>7.1177936892184001E-3</v>
      </c>
      <c r="R32" s="150">
        <v>7.1177936892184001E-3</v>
      </c>
      <c r="S32" s="150">
        <v>7.1177936892184001E-3</v>
      </c>
      <c r="T32" s="149" t="s">
        <v>16</v>
      </c>
    </row>
    <row r="33" spans="1:21" x14ac:dyDescent="0.2">
      <c r="A33" s="4"/>
      <c r="B33" s="99">
        <v>2025</v>
      </c>
      <c r="C33" s="171">
        <f t="shared" si="3"/>
        <v>0.2266555586853411</v>
      </c>
      <c r="D33" s="171">
        <f t="shared" si="4"/>
        <v>0.32037586847363719</v>
      </c>
      <c r="E33" s="171">
        <f t="shared" si="5"/>
        <v>0.36983357598482286</v>
      </c>
      <c r="F33" s="171">
        <f t="shared" si="6"/>
        <v>6.2946931566841826E-3</v>
      </c>
      <c r="G33" s="171">
        <f t="shared" si="7"/>
        <v>2.5478002127254391E-2</v>
      </c>
      <c r="H33" s="171">
        <f t="shared" si="8"/>
        <v>1.5400566498240611E-2</v>
      </c>
      <c r="I33" s="170">
        <f t="shared" si="9"/>
        <v>3.596173507401948E-2</v>
      </c>
      <c r="J33" s="4"/>
      <c r="L33" s="150" t="s">
        <v>535</v>
      </c>
      <c r="M33" s="150">
        <v>9.7387101000000094</v>
      </c>
      <c r="N33" s="150">
        <v>15.6794911068163</v>
      </c>
      <c r="O33" s="150">
        <v>20.7657390640648</v>
      </c>
      <c r="P33" s="150">
        <v>23.4862181984196</v>
      </c>
      <c r="Q33" s="150">
        <v>23.4862181984196</v>
      </c>
      <c r="R33" s="150">
        <v>23.4862181984196</v>
      </c>
      <c r="S33" s="150">
        <v>23.4862181984196</v>
      </c>
      <c r="T33" s="149">
        <v>2.9778266470501298</v>
      </c>
    </row>
    <row r="34" spans="1:21" x14ac:dyDescent="0.2">
      <c r="A34" s="4"/>
      <c r="B34" s="99">
        <v>2030</v>
      </c>
      <c r="C34" s="171">
        <f t="shared" si="3"/>
        <v>0.23660606091926634</v>
      </c>
      <c r="D34" s="171">
        <f t="shared" si="4"/>
        <v>0.31361876358847302</v>
      </c>
      <c r="E34" s="171">
        <f t="shared" si="5"/>
        <v>0.35327878084796371</v>
      </c>
      <c r="F34" s="171">
        <f t="shared" si="6"/>
        <v>6.9845424334963099E-3</v>
      </c>
      <c r="G34" s="171">
        <f t="shared" si="7"/>
        <v>3.2232353327882803E-2</v>
      </c>
      <c r="H34" s="171">
        <f t="shared" si="8"/>
        <v>3.7855907329153116E-2</v>
      </c>
      <c r="I34" s="170">
        <f t="shared" si="9"/>
        <v>1.9423591553764823E-2</v>
      </c>
      <c r="J34" s="4"/>
      <c r="L34" s="150" t="s">
        <v>534</v>
      </c>
      <c r="M34" s="150">
        <v>10.87798880806884</v>
      </c>
      <c r="N34" s="150">
        <v>10.120229370472121</v>
      </c>
      <c r="O34" s="150">
        <v>10.23028538782906</v>
      </c>
      <c r="P34" s="150">
        <v>11.344803104307781</v>
      </c>
      <c r="Q34" s="150">
        <v>10.48884696317495</v>
      </c>
      <c r="R34" s="150">
        <v>10.41925296037199</v>
      </c>
      <c r="S34" s="150">
        <v>10.66654178175081</v>
      </c>
      <c r="T34" s="149">
        <v>-6.541015168964881E-2</v>
      </c>
    </row>
    <row r="35" spans="1:21" ht="17" thickBot="1" x14ac:dyDescent="0.25">
      <c r="A35" s="4"/>
      <c r="B35" s="99">
        <v>2035</v>
      </c>
      <c r="C35" s="171">
        <f t="shared" si="3"/>
        <v>0.12473059187947522</v>
      </c>
      <c r="D35" s="171">
        <f t="shared" si="4"/>
        <v>0.14344565519976485</v>
      </c>
      <c r="E35" s="171">
        <f t="shared" si="5"/>
        <v>0.12473059187947522</v>
      </c>
      <c r="F35" s="171">
        <f t="shared" si="6"/>
        <v>3.5918894229146924E-3</v>
      </c>
      <c r="G35" s="171">
        <f t="shared" si="7"/>
        <v>1.8603713520127733E-2</v>
      </c>
      <c r="H35" s="171">
        <f t="shared" si="8"/>
        <v>4.3842290168395172E-2</v>
      </c>
      <c r="I35" s="170">
        <f t="shared" si="9"/>
        <v>0.54105526792984704</v>
      </c>
      <c r="J35" s="4"/>
      <c r="L35" s="150" t="s">
        <v>533</v>
      </c>
      <c r="M35" s="150">
        <v>549.39136695519528</v>
      </c>
      <c r="N35" s="150">
        <v>615.4128973104838</v>
      </c>
      <c r="O35" s="150">
        <v>644.25140953332959</v>
      </c>
      <c r="P35" s="150">
        <v>659.43662217508745</v>
      </c>
      <c r="Q35" s="150">
        <v>670.40341949436947</v>
      </c>
      <c r="R35" s="150">
        <v>683.69947444335037</v>
      </c>
      <c r="S35" s="150">
        <v>695.06891837101421</v>
      </c>
      <c r="T35" s="149">
        <v>0.7870811385366272</v>
      </c>
    </row>
    <row r="36" spans="1:21" ht="17" customHeight="1" thickBot="1" x14ac:dyDescent="0.25">
      <c r="A36" s="4"/>
      <c r="B36" s="99">
        <v>2040</v>
      </c>
      <c r="C36" s="171">
        <f t="shared" si="3"/>
        <v>0.24294251908719133</v>
      </c>
      <c r="D36" s="171">
        <f t="shared" si="4"/>
        <v>0.23764634636384352</v>
      </c>
      <c r="E36" s="171">
        <f t="shared" si="5"/>
        <v>0.29256428396457385</v>
      </c>
      <c r="F36" s="171">
        <f t="shared" si="6"/>
        <v>6.7639468410891287E-3</v>
      </c>
      <c r="G36" s="171">
        <f t="shared" si="7"/>
        <v>3.5032963012231258E-2</v>
      </c>
      <c r="H36" s="171">
        <f t="shared" si="8"/>
        <v>0.16919801391594586</v>
      </c>
      <c r="I36" s="170">
        <f t="shared" si="9"/>
        <v>1.5851926815125279E-2</v>
      </c>
      <c r="J36" s="4"/>
      <c r="L36" s="146" t="s">
        <v>532</v>
      </c>
      <c r="M36" s="146"/>
      <c r="N36" s="146"/>
      <c r="O36" s="146"/>
      <c r="P36" s="146"/>
      <c r="Q36" s="146"/>
      <c r="R36" s="146"/>
      <c r="S36" s="146"/>
      <c r="T36" s="146"/>
    </row>
    <row r="37" spans="1:21" ht="17" thickBot="1" x14ac:dyDescent="0.25">
      <c r="A37" s="4"/>
      <c r="B37" s="99">
        <v>2045</v>
      </c>
      <c r="C37" s="171">
        <f t="shared" si="3"/>
        <v>0.23533445102960368</v>
      </c>
      <c r="D37" s="171">
        <f t="shared" si="4"/>
        <v>0.19206058550820898</v>
      </c>
      <c r="E37" s="171">
        <f t="shared" si="5"/>
        <v>0.27264307398053172</v>
      </c>
      <c r="F37" s="171">
        <f t="shared" si="6"/>
        <v>6.6324068703376106E-3</v>
      </c>
      <c r="G37" s="171">
        <f t="shared" si="7"/>
        <v>3.4351669229439503E-2</v>
      </c>
      <c r="H37" s="171">
        <f t="shared" si="8"/>
        <v>0.24353595283601936</v>
      </c>
      <c r="I37" s="170">
        <f t="shared" si="9"/>
        <v>1.5441860545859307E-2</v>
      </c>
      <c r="J37" s="4"/>
      <c r="L37" s="146"/>
      <c r="M37" s="146"/>
      <c r="N37" s="146"/>
      <c r="O37" s="146"/>
      <c r="P37" s="146"/>
      <c r="Q37" s="146"/>
      <c r="R37" s="146"/>
      <c r="S37" s="146"/>
      <c r="T37" s="146"/>
    </row>
    <row r="38" spans="1:21" ht="17" thickBot="1" x14ac:dyDescent="0.25">
      <c r="A38" s="4"/>
      <c r="B38" s="98">
        <v>2050</v>
      </c>
      <c r="C38" s="171">
        <f t="shared" si="3"/>
        <v>0.23173313232361412</v>
      </c>
      <c r="D38" s="171">
        <f t="shared" si="4"/>
        <v>0.18891899479693439</v>
      </c>
      <c r="E38" s="171">
        <f t="shared" si="5"/>
        <v>0.26258382955547532</v>
      </c>
      <c r="F38" s="171">
        <f t="shared" si="6"/>
        <v>6.5239186671900975E-3</v>
      </c>
      <c r="G38" s="171">
        <f t="shared" si="7"/>
        <v>3.3789769010909951E-2</v>
      </c>
      <c r="H38" s="171">
        <f t="shared" si="8"/>
        <v>0.26090530611850965</v>
      </c>
      <c r="I38" s="170">
        <f t="shared" si="9"/>
        <v>1.5545049527366288E-2</v>
      </c>
      <c r="J38" s="4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1:21" ht="17" thickBot="1" x14ac:dyDescent="0.25">
      <c r="A39" s="4"/>
      <c r="B39" s="226"/>
      <c r="C39" s="225"/>
      <c r="D39" s="225"/>
      <c r="E39" s="225"/>
      <c r="F39" s="225"/>
      <c r="G39" s="225"/>
      <c r="H39" s="225"/>
      <c r="I39" s="224"/>
      <c r="J39" s="4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1:21" ht="17" thickBo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1:21" ht="17" thickBot="1" x14ac:dyDescent="0.25">
      <c r="A41" s="4"/>
      <c r="B41" s="4"/>
      <c r="C41" s="4"/>
      <c r="D41" s="4"/>
      <c r="E41" s="4"/>
      <c r="F41" s="4"/>
      <c r="G41" s="4"/>
      <c r="H41" s="4"/>
      <c r="I41" s="4"/>
      <c r="J41" s="223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1:21" ht="20" thickBot="1" x14ac:dyDescent="0.25">
      <c r="A42" s="4"/>
      <c r="B42" s="331" t="s">
        <v>573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1:21" ht="17" thickBot="1" x14ac:dyDescent="0.25">
      <c r="A43" s="4"/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1:21" ht="17" thickBot="1" x14ac:dyDescent="0.25">
      <c r="A44" s="4"/>
      <c r="B44" s="99"/>
      <c r="C44" s="158">
        <f t="shared" ref="C44:C51" si="10">C31*$J$8</f>
        <v>0</v>
      </c>
      <c r="D44" s="158">
        <f t="shared" ref="D44:D51" si="11">D31*$J$9</f>
        <v>0</v>
      </c>
      <c r="E44" s="158">
        <f t="shared" ref="E44:E51" si="12">E31*$J$4</f>
        <v>0</v>
      </c>
      <c r="F44" s="158">
        <f t="shared" ref="F44:F51" si="13">F31*$J$7</f>
        <v>0</v>
      </c>
      <c r="G44" s="158">
        <f t="shared" ref="G44:G51" si="14">G31*$J$5</f>
        <v>0</v>
      </c>
      <c r="H44" s="158">
        <f t="shared" ref="H44:H51" si="15">H31*$J$6</f>
        <v>0</v>
      </c>
      <c r="I44" s="220">
        <f>I31*$J$11</f>
        <v>0</v>
      </c>
      <c r="J44" s="151"/>
      <c r="K44" s="151"/>
      <c r="L44" s="151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1:21" ht="17" thickBot="1" x14ac:dyDescent="0.25">
      <c r="A45" s="4"/>
      <c r="B45" s="99">
        <v>2020</v>
      </c>
      <c r="C45" s="158">
        <f t="shared" si="10"/>
        <v>288.91592416185841</v>
      </c>
      <c r="D45" s="158">
        <f t="shared" si="11"/>
        <v>147.73100051765155</v>
      </c>
      <c r="E45" s="158">
        <f t="shared" si="12"/>
        <v>5.1877786603162059</v>
      </c>
      <c r="F45" s="158">
        <f t="shared" si="13"/>
        <v>2.4087400448714057E-2</v>
      </c>
      <c r="G45" s="158">
        <f t="shared" si="14"/>
        <v>0.62042266042341754</v>
      </c>
      <c r="H45" s="158">
        <f t="shared" si="15"/>
        <v>5.6510534870730947E-2</v>
      </c>
      <c r="I45" s="219">
        <f t="shared" ref="I45:I51" si="16">I32*$J$10</f>
        <v>0.78637754643061708</v>
      </c>
      <c r="J45" s="155">
        <f t="shared" ref="J45:J51" si="17">SUM(C45:I45)</f>
        <v>443.32210148199965</v>
      </c>
      <c r="K45" s="155">
        <f>$J$8-J45</f>
        <v>557.67789851800035</v>
      </c>
      <c r="L45" s="155">
        <f t="shared" ref="L45:L51" si="18">K45/1011</f>
        <v>0.55161018646686488</v>
      </c>
      <c r="M45" s="146"/>
      <c r="N45" s="146"/>
      <c r="O45" s="146"/>
      <c r="P45" s="146"/>
      <c r="Q45" s="146"/>
      <c r="R45" s="146"/>
      <c r="S45" s="146"/>
      <c r="T45" s="146"/>
    </row>
    <row r="46" spans="1:21" x14ac:dyDescent="0.2">
      <c r="A46" s="4"/>
      <c r="B46" s="99">
        <v>2025</v>
      </c>
      <c r="C46" s="158">
        <f t="shared" si="10"/>
        <v>226.88221424402644</v>
      </c>
      <c r="D46" s="158">
        <f t="shared" si="11"/>
        <v>150.25628231413583</v>
      </c>
      <c r="E46" s="158">
        <f t="shared" si="12"/>
        <v>5.9173372157571658</v>
      </c>
      <c r="F46" s="158">
        <f t="shared" si="13"/>
        <v>2.5178772626736731E-2</v>
      </c>
      <c r="G46" s="158">
        <f t="shared" si="14"/>
        <v>0.89173007445390362</v>
      </c>
      <c r="H46" s="158">
        <f t="shared" si="15"/>
        <v>0.18480679797888733</v>
      </c>
      <c r="I46" s="219">
        <f t="shared" si="16"/>
        <v>0.64731123133235058</v>
      </c>
      <c r="J46" s="155">
        <f t="shared" si="17"/>
        <v>384.80486065031135</v>
      </c>
      <c r="K46" s="155">
        <f t="shared" ref="K46:K51" si="19">$J$8-J46</f>
        <v>616.19513934968859</v>
      </c>
      <c r="L46" s="155">
        <f t="shared" si="18"/>
        <v>0.6094907411965268</v>
      </c>
      <c r="M46" s="146"/>
      <c r="N46" s="146"/>
      <c r="O46" s="146"/>
      <c r="P46" s="146"/>
      <c r="Q46" s="146"/>
      <c r="R46" s="146"/>
      <c r="S46" s="146"/>
      <c r="T46" s="146"/>
    </row>
    <row r="47" spans="1:21" x14ac:dyDescent="0.2">
      <c r="A47" s="4"/>
      <c r="B47" s="99">
        <v>2030</v>
      </c>
      <c r="C47" s="158">
        <f t="shared" si="10"/>
        <v>236.84266698018561</v>
      </c>
      <c r="D47" s="158">
        <f t="shared" si="11"/>
        <v>147.08720012299383</v>
      </c>
      <c r="E47" s="158">
        <f t="shared" si="12"/>
        <v>5.6524604935674194</v>
      </c>
      <c r="F47" s="158">
        <f t="shared" si="13"/>
        <v>2.7938169733985239E-2</v>
      </c>
      <c r="G47" s="158">
        <f t="shared" si="14"/>
        <v>1.128132366475898</v>
      </c>
      <c r="H47" s="158">
        <f t="shared" si="15"/>
        <v>0.45427088794983739</v>
      </c>
      <c r="I47" s="219">
        <f t="shared" si="16"/>
        <v>0.34962464796776682</v>
      </c>
      <c r="J47" s="155">
        <f t="shared" si="17"/>
        <v>391.54229366887438</v>
      </c>
      <c r="K47" s="155">
        <f t="shared" si="19"/>
        <v>609.45770633112556</v>
      </c>
      <c r="L47" s="155">
        <f t="shared" si="18"/>
        <v>0.60282661358172662</v>
      </c>
    </row>
    <row r="48" spans="1:21" x14ac:dyDescent="0.2">
      <c r="A48" s="4"/>
      <c r="B48" s="99">
        <v>2035</v>
      </c>
      <c r="C48" s="158">
        <f t="shared" si="10"/>
        <v>124.8553224713547</v>
      </c>
      <c r="D48" s="158">
        <f t="shared" si="11"/>
        <v>67.276012288689714</v>
      </c>
      <c r="E48" s="158">
        <f t="shared" si="12"/>
        <v>1.9956894700716035</v>
      </c>
      <c r="F48" s="158">
        <f t="shared" si="13"/>
        <v>1.436755769165877E-2</v>
      </c>
      <c r="G48" s="158">
        <f t="shared" si="14"/>
        <v>0.65112997320447064</v>
      </c>
      <c r="H48" s="158">
        <f t="shared" si="15"/>
        <v>0.52610748202074209</v>
      </c>
      <c r="I48" s="219">
        <f t="shared" si="16"/>
        <v>9.7389948227372471</v>
      </c>
      <c r="J48" s="155">
        <f t="shared" si="17"/>
        <v>205.05762406577011</v>
      </c>
      <c r="K48" s="155">
        <f t="shared" si="19"/>
        <v>795.94237593422986</v>
      </c>
      <c r="L48" s="155">
        <f t="shared" si="18"/>
        <v>0.78728227095373871</v>
      </c>
    </row>
    <row r="49" spans="1:12" x14ac:dyDescent="0.2">
      <c r="A49" s="4"/>
      <c r="B49" s="99">
        <v>2040</v>
      </c>
      <c r="C49" s="158">
        <f t="shared" si="10"/>
        <v>243.18546160627852</v>
      </c>
      <c r="D49" s="158">
        <f t="shared" si="11"/>
        <v>111.45613644464261</v>
      </c>
      <c r="E49" s="158">
        <f t="shared" si="12"/>
        <v>4.6810285434331815</v>
      </c>
      <c r="F49" s="158">
        <f t="shared" si="13"/>
        <v>2.7055787364356515E-2</v>
      </c>
      <c r="G49" s="158">
        <f t="shared" si="14"/>
        <v>1.226153705428094</v>
      </c>
      <c r="H49" s="158">
        <f t="shared" si="15"/>
        <v>2.03037616699135</v>
      </c>
      <c r="I49" s="219">
        <f t="shared" si="16"/>
        <v>0.28533468267225504</v>
      </c>
      <c r="J49" s="155">
        <f t="shared" si="17"/>
        <v>362.89154693681036</v>
      </c>
      <c r="K49" s="155">
        <f t="shared" si="19"/>
        <v>638.1084530631897</v>
      </c>
      <c r="L49" s="155">
        <f t="shared" si="18"/>
        <v>0.63116563112086022</v>
      </c>
    </row>
    <row r="50" spans="1:12" x14ac:dyDescent="0.2">
      <c r="A50" s="4"/>
      <c r="B50" s="99">
        <v>2045</v>
      </c>
      <c r="C50" s="158">
        <f t="shared" si="10"/>
        <v>235.56978548063327</v>
      </c>
      <c r="D50" s="158">
        <f t="shared" si="11"/>
        <v>90.076414603350017</v>
      </c>
      <c r="E50" s="158">
        <f t="shared" si="12"/>
        <v>4.3622891836885076</v>
      </c>
      <c r="F50" s="158">
        <f t="shared" si="13"/>
        <v>2.6529627481350442E-2</v>
      </c>
      <c r="G50" s="158">
        <f t="shared" si="14"/>
        <v>1.2023084230303827</v>
      </c>
      <c r="H50" s="158">
        <f t="shared" si="15"/>
        <v>2.9224314340322324</v>
      </c>
      <c r="I50" s="219">
        <f t="shared" si="16"/>
        <v>0.27795348982546753</v>
      </c>
      <c r="J50" s="155">
        <f t="shared" si="17"/>
        <v>334.43771224204119</v>
      </c>
      <c r="K50" s="155">
        <f t="shared" si="19"/>
        <v>666.56228775795876</v>
      </c>
      <c r="L50" s="155">
        <f t="shared" si="18"/>
        <v>0.65930987908799088</v>
      </c>
    </row>
    <row r="51" spans="1:12" x14ac:dyDescent="0.2">
      <c r="A51" s="4"/>
      <c r="B51" s="98">
        <v>2050</v>
      </c>
      <c r="C51" s="158">
        <f t="shared" si="10"/>
        <v>231.96486545593774</v>
      </c>
      <c r="D51" s="158">
        <f t="shared" si="11"/>
        <v>88.60300855976223</v>
      </c>
      <c r="E51" s="158">
        <f t="shared" si="12"/>
        <v>4.2013412728876052</v>
      </c>
      <c r="F51" s="158">
        <f t="shared" si="13"/>
        <v>2.609567466876039E-2</v>
      </c>
      <c r="G51" s="158">
        <f t="shared" si="14"/>
        <v>1.1826419153818484</v>
      </c>
      <c r="H51" s="158">
        <f t="shared" si="15"/>
        <v>3.130863673422116</v>
      </c>
      <c r="I51" s="219">
        <f t="shared" si="16"/>
        <v>0.27981089149259319</v>
      </c>
      <c r="J51" s="155">
        <f t="shared" si="17"/>
        <v>329.38862744355293</v>
      </c>
      <c r="K51" s="155">
        <f t="shared" si="19"/>
        <v>671.61137255644712</v>
      </c>
      <c r="L51" s="155">
        <f t="shared" si="18"/>
        <v>0.66430402824574397</v>
      </c>
    </row>
    <row r="52" spans="1:12" x14ac:dyDescent="0.2">
      <c r="A52" s="4"/>
      <c r="B52" s="226"/>
      <c r="C52" s="225"/>
      <c r="D52" s="225"/>
      <c r="E52" s="225"/>
      <c r="F52" s="225"/>
      <c r="G52" s="225"/>
      <c r="H52" s="225"/>
      <c r="I52" s="224"/>
      <c r="J52" s="155"/>
      <c r="K52" s="151"/>
      <c r="L52" s="151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223"/>
    </row>
    <row r="54" spans="1:12" x14ac:dyDescent="0.2">
      <c r="A54" s="4"/>
      <c r="B54" s="4"/>
      <c r="C54" s="4"/>
      <c r="D54" s="4"/>
      <c r="E54" s="4"/>
      <c r="F54" s="4"/>
      <c r="G54" s="4"/>
      <c r="H54" s="4"/>
      <c r="I54" s="4"/>
      <c r="J54" s="223"/>
    </row>
    <row r="55" spans="1:12" ht="19" x14ac:dyDescent="0.2">
      <c r="A55" s="4"/>
      <c r="B55" s="330"/>
      <c r="C55" s="330"/>
      <c r="D55" s="330"/>
      <c r="E55" s="330"/>
      <c r="F55" s="330"/>
      <c r="G55" s="330"/>
      <c r="H55" s="330"/>
      <c r="I55" s="330"/>
      <c r="J55" s="223"/>
    </row>
    <row r="56" spans="1:12" ht="19" customHeight="1" x14ac:dyDescent="0.2">
      <c r="A56" s="4"/>
      <c r="B56" s="147"/>
      <c r="C56" s="147"/>
      <c r="D56" s="147"/>
      <c r="E56" s="147"/>
      <c r="F56" s="147"/>
      <c r="G56" s="147"/>
      <c r="H56" s="147"/>
      <c r="I56" s="147"/>
      <c r="J56" s="4"/>
    </row>
    <row r="57" spans="1:12" x14ac:dyDescent="0.2">
      <c r="A57" s="4"/>
      <c r="B57" s="218"/>
      <c r="C57" s="145"/>
      <c r="D57" s="145"/>
      <c r="E57" s="145"/>
      <c r="F57" s="145"/>
      <c r="G57" s="145"/>
      <c r="H57" s="145"/>
      <c r="I57" s="145"/>
      <c r="J57" s="4"/>
    </row>
    <row r="58" spans="1:12" x14ac:dyDescent="0.2">
      <c r="A58" s="4"/>
      <c r="B58" s="218"/>
      <c r="C58" s="145"/>
      <c r="D58" s="145"/>
      <c r="E58" s="145"/>
      <c r="F58" s="145"/>
      <c r="G58" s="145"/>
      <c r="H58" s="145"/>
      <c r="I58" s="145"/>
      <c r="J58" s="4"/>
    </row>
    <row r="59" spans="1:12" x14ac:dyDescent="0.2">
      <c r="A59" s="4"/>
      <c r="B59" s="218"/>
      <c r="C59" s="145"/>
      <c r="D59" s="145"/>
      <c r="E59" s="145"/>
      <c r="F59" s="145"/>
      <c r="G59" s="145"/>
      <c r="H59" s="145"/>
      <c r="I59" s="145"/>
    </row>
    <row r="60" spans="1:12" x14ac:dyDescent="0.2">
      <c r="A60" s="4"/>
      <c r="B60" s="218"/>
      <c r="C60" s="145"/>
      <c r="D60" s="145"/>
      <c r="E60" s="145"/>
      <c r="F60" s="145"/>
      <c r="G60" s="145"/>
      <c r="H60" s="145"/>
      <c r="I60" s="145"/>
    </row>
    <row r="61" spans="1:12" x14ac:dyDescent="0.2">
      <c r="A61" s="4"/>
      <c r="B61" s="218"/>
      <c r="C61" s="145"/>
      <c r="D61" s="145"/>
      <c r="E61" s="145"/>
      <c r="F61" s="145"/>
      <c r="G61" s="145"/>
      <c r="H61" s="145"/>
      <c r="I61" s="145"/>
    </row>
    <row r="62" spans="1:12" x14ac:dyDescent="0.2">
      <c r="A62" s="4"/>
      <c r="B62" s="222"/>
      <c r="C62" s="222"/>
      <c r="D62" s="222"/>
      <c r="E62" s="222"/>
      <c r="F62" s="222"/>
      <c r="G62" s="222"/>
      <c r="H62" s="222"/>
      <c r="I62" s="222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</row>
    <row r="64" spans="1:12" x14ac:dyDescent="0.2">
      <c r="A64" s="4"/>
      <c r="B64" s="4"/>
      <c r="C64" s="4"/>
      <c r="D64" s="4"/>
      <c r="E64" s="4"/>
      <c r="F64" s="4"/>
      <c r="G64" s="4"/>
      <c r="H64" s="4"/>
      <c r="I64" s="4"/>
    </row>
    <row r="65" spans="1:10" ht="19" x14ac:dyDescent="0.2">
      <c r="A65" s="4"/>
      <c r="B65" s="330"/>
      <c r="C65" s="330"/>
      <c r="D65" s="330"/>
      <c r="E65" s="330"/>
      <c r="F65" s="330"/>
      <c r="G65" s="330"/>
      <c r="H65" s="330"/>
      <c r="I65" s="330"/>
      <c r="J65" s="218"/>
    </row>
    <row r="66" spans="1:10" x14ac:dyDescent="0.2">
      <c r="B66" s="147"/>
      <c r="C66" s="147"/>
      <c r="D66" s="147"/>
      <c r="E66" s="147"/>
      <c r="F66" s="147"/>
      <c r="G66" s="147"/>
      <c r="H66" s="147"/>
      <c r="I66" s="147"/>
      <c r="J66" s="218"/>
    </row>
    <row r="67" spans="1:10" x14ac:dyDescent="0.2">
      <c r="B67" s="218"/>
      <c r="C67" s="145"/>
      <c r="D67" s="145"/>
      <c r="E67" s="145"/>
      <c r="F67" s="145"/>
      <c r="G67" s="145"/>
      <c r="H67" s="145"/>
      <c r="I67" s="145"/>
      <c r="J67" s="145"/>
    </row>
    <row r="68" spans="1:10" x14ac:dyDescent="0.2">
      <c r="B68" s="218"/>
      <c r="C68" s="145"/>
      <c r="D68" s="145"/>
      <c r="E68" s="145"/>
      <c r="F68" s="145"/>
      <c r="G68" s="145"/>
      <c r="H68" s="145"/>
      <c r="I68" s="145"/>
      <c r="J68" s="145"/>
    </row>
    <row r="69" spans="1:10" x14ac:dyDescent="0.2">
      <c r="B69" s="218"/>
      <c r="C69" s="145"/>
      <c r="D69" s="145"/>
      <c r="E69" s="145"/>
      <c r="F69" s="145"/>
      <c r="G69" s="145"/>
      <c r="H69" s="145"/>
      <c r="I69" s="145"/>
      <c r="J69" s="145"/>
    </row>
    <row r="70" spans="1:10" x14ac:dyDescent="0.2">
      <c r="B70" s="218"/>
      <c r="C70" s="145"/>
      <c r="D70" s="145"/>
      <c r="E70" s="145"/>
      <c r="F70" s="145"/>
      <c r="G70" s="145"/>
      <c r="H70" s="145"/>
      <c r="I70" s="145"/>
      <c r="J70" s="145"/>
    </row>
    <row r="71" spans="1:10" x14ac:dyDescent="0.2">
      <c r="B71" s="218"/>
      <c r="C71" s="145"/>
      <c r="D71" s="145"/>
      <c r="E71" s="145"/>
      <c r="F71" s="145"/>
      <c r="G71" s="145"/>
      <c r="H71" s="145"/>
      <c r="I71" s="145"/>
      <c r="J71" s="145"/>
    </row>
    <row r="72" spans="1:10" x14ac:dyDescent="0.2">
      <c r="B72" s="222"/>
      <c r="C72" s="222"/>
      <c r="D72" s="222"/>
      <c r="E72" s="222"/>
      <c r="F72" s="222"/>
      <c r="G72" s="222"/>
      <c r="H72" s="222"/>
      <c r="I72" s="222"/>
      <c r="J72" s="218"/>
    </row>
  </sheetData>
  <mergeCells count="9">
    <mergeCell ref="J42:J43"/>
    <mergeCell ref="K42:K43"/>
    <mergeCell ref="L42:L43"/>
    <mergeCell ref="B2:I2"/>
    <mergeCell ref="B65:I65"/>
    <mergeCell ref="B17:I17"/>
    <mergeCell ref="B29:I29"/>
    <mergeCell ref="B42:I42"/>
    <mergeCell ref="B55:I5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D1E4F-16BA-4129-AF8F-286B4083AC11}">
  <sheetPr>
    <tabColor theme="6"/>
  </sheetPr>
  <dimension ref="A1:U72"/>
  <sheetViews>
    <sheetView topLeftCell="D1" workbookViewId="0">
      <selection activeCell="J4" sqref="J4:J10"/>
    </sheetView>
  </sheetViews>
  <sheetFormatPr baseColWidth="10" defaultColWidth="11" defaultRowHeight="16" x14ac:dyDescent="0.2"/>
  <cols>
    <col min="5" max="5" width="13.83203125" customWidth="1"/>
    <col min="6" max="6" width="13" customWidth="1"/>
    <col min="10" max="10" width="13.33203125" customWidth="1"/>
  </cols>
  <sheetData>
    <row r="1" spans="1:11" x14ac:dyDescent="0.2">
      <c r="A1" s="4" t="s">
        <v>582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68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35" t="s">
        <v>527</v>
      </c>
      <c r="J3" s="39" t="s">
        <v>460</v>
      </c>
      <c r="K3" s="213"/>
    </row>
    <row r="4" spans="1:11" x14ac:dyDescent="0.2">
      <c r="A4" s="4"/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A5" s="4"/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A6" s="4"/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A7" s="4"/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A8" s="4"/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A9" s="4"/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A10" s="4"/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A12" s="4"/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20" ht="19" x14ac:dyDescent="0.2">
      <c r="A17" s="4"/>
      <c r="B17" s="331" t="s">
        <v>581</v>
      </c>
      <c r="C17" s="332"/>
      <c r="D17" s="332"/>
      <c r="E17" s="332"/>
      <c r="F17" s="332"/>
      <c r="G17" s="332"/>
      <c r="H17" s="332"/>
      <c r="I17" s="332"/>
      <c r="J17" s="191"/>
      <c r="K17" s="4"/>
      <c r="L17" s="166" t="s">
        <v>551</v>
      </c>
      <c r="T17" s="165"/>
    </row>
    <row r="18" spans="1:20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80" t="s">
        <v>520</v>
      </c>
      <c r="J18" s="221" t="s">
        <v>463</v>
      </c>
      <c r="K18" s="4"/>
      <c r="L18" s="166" t="s">
        <v>550</v>
      </c>
      <c r="T18" s="165"/>
    </row>
    <row r="19" spans="1:20" x14ac:dyDescent="0.2">
      <c r="A19" s="4"/>
      <c r="B19" s="189"/>
      <c r="C19" s="188"/>
      <c r="D19" s="188"/>
      <c r="E19" s="188"/>
      <c r="F19" s="188"/>
      <c r="G19" s="188"/>
      <c r="H19" s="188"/>
      <c r="I19" s="188"/>
      <c r="J19" s="182"/>
      <c r="K19" s="4"/>
      <c r="T19" s="165"/>
    </row>
    <row r="20" spans="1:20" x14ac:dyDescent="0.2">
      <c r="A20" s="4"/>
      <c r="B20" s="99">
        <v>2020</v>
      </c>
      <c r="C20" s="184">
        <f>M26/1000</f>
        <v>0.28322755769575902</v>
      </c>
      <c r="D20" s="184">
        <f>M25/1000</f>
        <v>0.3666665525089034</v>
      </c>
      <c r="E20" s="184">
        <f>M27/1000</f>
        <v>5.7632040003929214E-2</v>
      </c>
      <c r="F20" s="236">
        <f>M29/1000</f>
        <v>8.6473125046597002E-2</v>
      </c>
      <c r="G20" s="184">
        <f>M32/1000</f>
        <v>9.2329404605084306E-2</v>
      </c>
      <c r="H20" s="184">
        <f>M30/1000</f>
        <v>1.0823340660299999E-2</v>
      </c>
      <c r="I20" s="184">
        <f>(M24+M33+M31)/1000</f>
        <v>6.1706461664057306E-2</v>
      </c>
      <c r="J20" s="182">
        <f t="shared" ref="J20:J26" si="2">SUM(C20:I20)</f>
        <v>0.95885848218463032</v>
      </c>
      <c r="K20" s="4"/>
      <c r="L20" s="169" t="s">
        <v>580</v>
      </c>
      <c r="T20" s="165"/>
    </row>
    <row r="21" spans="1:20" x14ac:dyDescent="0.2">
      <c r="A21" s="4"/>
      <c r="B21" s="99">
        <v>2025</v>
      </c>
      <c r="C21" s="184">
        <f>N26/1000</f>
        <v>0.255254781610602</v>
      </c>
      <c r="D21" s="184">
        <f>N25/1000</f>
        <v>0.37588981319790571</v>
      </c>
      <c r="E21" s="184">
        <f>N27/1000</f>
        <v>0.11532058200786201</v>
      </c>
      <c r="F21" s="236">
        <f>N29/1000</f>
        <v>8.6473095741041298E-2</v>
      </c>
      <c r="G21" s="184">
        <f>N32/1000</f>
        <v>9.2329404605084306E-2</v>
      </c>
      <c r="H21" s="184">
        <f>N30/1000</f>
        <v>2.02367111166077E-2</v>
      </c>
      <c r="I21" s="184">
        <f>(N24+N33+N31)/1000</f>
        <v>6.2218418945173416E-2</v>
      </c>
      <c r="J21" s="182">
        <f t="shared" si="2"/>
        <v>1.0077228072242765</v>
      </c>
      <c r="K21" s="4"/>
      <c r="L21" s="169"/>
      <c r="T21" s="165"/>
    </row>
    <row r="22" spans="1:20" x14ac:dyDescent="0.2">
      <c r="A22" s="4"/>
      <c r="B22" s="99">
        <v>2030</v>
      </c>
      <c r="C22" s="184">
        <f>O26/1000</f>
        <v>0.25113515635240796</v>
      </c>
      <c r="D22" s="184">
        <f>O25/1000</f>
        <v>0.37590839173424556</v>
      </c>
      <c r="E22" s="184">
        <f>O27/1000</f>
        <v>0.13939043400950299</v>
      </c>
      <c r="F22" s="184">
        <f>O29/1000</f>
        <v>8.6473095741041298E-2</v>
      </c>
      <c r="G22" s="184">
        <f>O32/1000</f>
        <v>9.2329404605084306E-2</v>
      </c>
      <c r="H22" s="184">
        <f>O30/1000</f>
        <v>3.4442182451757196E-2</v>
      </c>
      <c r="I22" s="184">
        <f>(O24+O31+O33)/1000</f>
        <v>3.9965788589753186E-2</v>
      </c>
      <c r="J22" s="182">
        <f t="shared" si="2"/>
        <v>1.0196444534837925</v>
      </c>
      <c r="K22" s="4"/>
      <c r="L22" s="166" t="s">
        <v>544</v>
      </c>
      <c r="T22" s="165"/>
    </row>
    <row r="23" spans="1:20" ht="19" customHeight="1" thickBot="1" x14ac:dyDescent="0.25">
      <c r="A23" s="4"/>
      <c r="B23" s="99">
        <v>2035</v>
      </c>
      <c r="C23" s="184">
        <f>P26/1000</f>
        <v>0.280267329099326</v>
      </c>
      <c r="D23" s="184">
        <f>P25/1000</f>
        <v>0.33319157998704468</v>
      </c>
      <c r="E23" s="184">
        <f>P27/1000</f>
        <v>0.13939043400950299</v>
      </c>
      <c r="F23" s="184">
        <f>P29/1000</f>
        <v>8.64730957410412E-2</v>
      </c>
      <c r="G23" s="184">
        <f>P32/1000</f>
        <v>9.2329404605084306E-2</v>
      </c>
      <c r="H23" s="184">
        <f>P30/1000</f>
        <v>6.2074993783811996E-2</v>
      </c>
      <c r="I23" s="184">
        <f>(P24+P31+P33)/1000</f>
        <v>2.987874820257869E-2</v>
      </c>
      <c r="J23" s="182">
        <f t="shared" si="2"/>
        <v>1.0236055854283899</v>
      </c>
      <c r="K23" s="4"/>
      <c r="L23" s="160" t="s">
        <v>543</v>
      </c>
      <c r="M23" s="160">
        <v>2020</v>
      </c>
      <c r="N23" s="160">
        <v>2025</v>
      </c>
      <c r="O23" s="160">
        <v>2030</v>
      </c>
      <c r="P23" s="160">
        <v>2035</v>
      </c>
      <c r="Q23" s="160">
        <v>2040</v>
      </c>
      <c r="R23" s="160">
        <v>2045</v>
      </c>
      <c r="S23" s="160">
        <v>2050</v>
      </c>
      <c r="T23" s="159" t="s">
        <v>542</v>
      </c>
    </row>
    <row r="24" spans="1:20" ht="17" thickTop="1" x14ac:dyDescent="0.2">
      <c r="A24" s="4"/>
      <c r="B24" s="99">
        <v>2040</v>
      </c>
      <c r="C24" s="184">
        <f>Q26/1000</f>
        <v>0.28501464053109998</v>
      </c>
      <c r="D24" s="184">
        <f>Q25/1000</f>
        <v>0.29586921380233872</v>
      </c>
      <c r="E24" s="184">
        <f>Q27/1000</f>
        <v>0.121196790008263</v>
      </c>
      <c r="F24" s="184">
        <f>Q29/1000</f>
        <v>8.6473095741041298E-2</v>
      </c>
      <c r="G24" s="184">
        <f>Q32/1000</f>
        <v>9.2329404605084306E-2</v>
      </c>
      <c r="H24" s="184">
        <f>Q30/1000</f>
        <v>0.12038687928688099</v>
      </c>
      <c r="I24" s="184">
        <f>(Q24+Q31+Q33)/1000</f>
        <v>2.4574913479946333E-2</v>
      </c>
      <c r="J24" s="182">
        <f t="shared" si="2"/>
        <v>1.0258449374546545</v>
      </c>
      <c r="K24" s="4"/>
      <c r="L24" s="150" t="s">
        <v>541</v>
      </c>
      <c r="M24" s="150">
        <v>47.685641179836118</v>
      </c>
      <c r="N24" s="150">
        <v>47.68555326316951</v>
      </c>
      <c r="O24" s="150">
        <v>25.29314762161982</v>
      </c>
      <c r="P24" s="150">
        <v>15.15502609421436</v>
      </c>
      <c r="Q24" s="150">
        <v>9.3467990045015839</v>
      </c>
      <c r="R24" s="150">
        <v>5.4135426611883366</v>
      </c>
      <c r="S24" s="150">
        <v>3.9767202098587249</v>
      </c>
      <c r="T24" s="149">
        <v>-7.9470070012302996</v>
      </c>
    </row>
    <row r="25" spans="1:20" x14ac:dyDescent="0.2">
      <c r="A25" s="4"/>
      <c r="B25" s="99">
        <v>2045</v>
      </c>
      <c r="C25" s="184">
        <f>R26/1000</f>
        <v>0.24970723674831699</v>
      </c>
      <c r="D25" s="184">
        <f>R25/1000</f>
        <v>0.26214528447751112</v>
      </c>
      <c r="E25" s="184">
        <f>R27/1000</f>
        <v>0.10221211800696901</v>
      </c>
      <c r="F25" s="184">
        <f>R29/1000</f>
        <v>8.6473095741041422E-2</v>
      </c>
      <c r="G25" s="184">
        <f>R32/1000</f>
        <v>9.2329404605084306E-2</v>
      </c>
      <c r="H25" s="184">
        <f>R30/1000</f>
        <v>0.21194342099432398</v>
      </c>
      <c r="I25" s="184">
        <f>(R24+R31+R33)/1000</f>
        <v>2.1704332379659064E-2</v>
      </c>
      <c r="J25" s="182">
        <f t="shared" si="2"/>
        <v>1.026514892952906</v>
      </c>
      <c r="K25" s="4"/>
      <c r="L25" s="150" t="s">
        <v>540</v>
      </c>
      <c r="M25" s="150">
        <v>366.66655250890341</v>
      </c>
      <c r="N25" s="150">
        <v>375.88981319790571</v>
      </c>
      <c r="O25" s="150">
        <v>375.90839173424558</v>
      </c>
      <c r="P25" s="150">
        <v>333.19157998704469</v>
      </c>
      <c r="Q25" s="150">
        <v>295.86921380233872</v>
      </c>
      <c r="R25" s="150">
        <v>262.1452844775111</v>
      </c>
      <c r="S25" s="150">
        <v>252.98674378689489</v>
      </c>
      <c r="T25" s="149">
        <v>-1.2294325169207481</v>
      </c>
    </row>
    <row r="26" spans="1:20" x14ac:dyDescent="0.2">
      <c r="A26" s="4"/>
      <c r="B26" s="98">
        <v>2050</v>
      </c>
      <c r="C26" s="184">
        <f>S26/1000</f>
        <v>0.20658936488170901</v>
      </c>
      <c r="D26" s="184">
        <f>S25/1000</f>
        <v>0.2529867437868949</v>
      </c>
      <c r="E26" s="184">
        <f>S27/1000</f>
        <v>0.10221211800696901</v>
      </c>
      <c r="F26" s="184">
        <f>S29/1000</f>
        <v>8.6473095741041298E-2</v>
      </c>
      <c r="G26" s="184">
        <f>S32/1000</f>
        <v>9.2329404605084306E-2</v>
      </c>
      <c r="H26" s="184">
        <f>S30/1000</f>
        <v>0.27658360813004801</v>
      </c>
      <c r="I26" s="184">
        <f>(S24+S31+S33)/1000</f>
        <v>2.0572931189212079E-2</v>
      </c>
      <c r="J26" s="182">
        <f t="shared" si="2"/>
        <v>1.0377472663409586</v>
      </c>
      <c r="K26" s="4"/>
      <c r="L26" s="150" t="s">
        <v>446</v>
      </c>
      <c r="M26" s="150">
        <v>283.227557695759</v>
      </c>
      <c r="N26" s="150">
        <v>255.25478161060201</v>
      </c>
      <c r="O26" s="150">
        <v>251.13515635240799</v>
      </c>
      <c r="P26" s="150">
        <v>280.26732909932599</v>
      </c>
      <c r="Q26" s="150">
        <v>285.01464053109999</v>
      </c>
      <c r="R26" s="150">
        <v>249.707236748317</v>
      </c>
      <c r="S26" s="150">
        <v>206.589364881709</v>
      </c>
      <c r="T26" s="149">
        <v>-1.046213997144219</v>
      </c>
    </row>
    <row r="27" spans="1:20" x14ac:dyDescent="0.2">
      <c r="A27" s="4"/>
      <c r="B27" s="181"/>
      <c r="C27" s="180"/>
      <c r="D27" s="180"/>
      <c r="E27" s="180"/>
      <c r="F27" s="180"/>
      <c r="G27" s="180"/>
      <c r="H27" s="180"/>
      <c r="I27" s="180"/>
      <c r="J27" s="178"/>
      <c r="K27" s="4"/>
      <c r="L27" s="150" t="s">
        <v>454</v>
      </c>
      <c r="M27" s="150">
        <v>57.632040003929212</v>
      </c>
      <c r="N27" s="150">
        <v>115.320582007862</v>
      </c>
      <c r="O27" s="150">
        <v>139.390434009503</v>
      </c>
      <c r="P27" s="150">
        <v>139.390434009503</v>
      </c>
      <c r="Q27" s="150">
        <v>121.19679000826299</v>
      </c>
      <c r="R27" s="150">
        <v>102.21211800696901</v>
      </c>
      <c r="S27" s="150">
        <v>102.21211800696901</v>
      </c>
      <c r="T27" s="149">
        <v>1.92826062475</v>
      </c>
    </row>
    <row r="28" spans="1:20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150" t="s">
        <v>539</v>
      </c>
      <c r="M28" s="150">
        <v>203.64669079620251</v>
      </c>
      <c r="N28" s="150">
        <v>213.57207714473719</v>
      </c>
      <c r="O28" s="150">
        <v>227.91732376601621</v>
      </c>
      <c r="P28" s="150">
        <v>255.60121623830179</v>
      </c>
      <c r="Q28" s="150">
        <v>314.41749410845142</v>
      </c>
      <c r="R28" s="150">
        <v>407.0367110589205</v>
      </c>
      <c r="S28" s="150">
        <v>471.98231945552692</v>
      </c>
      <c r="T28" s="149">
        <v>2.8414707915835669</v>
      </c>
    </row>
    <row r="29" spans="1:20" ht="19" x14ac:dyDescent="0.2">
      <c r="A29" s="4"/>
      <c r="B29" s="331" t="s">
        <v>579</v>
      </c>
      <c r="C29" s="332"/>
      <c r="D29" s="332"/>
      <c r="E29" s="332"/>
      <c r="F29" s="332"/>
      <c r="G29" s="332"/>
      <c r="H29" s="332"/>
      <c r="I29" s="338"/>
      <c r="J29" s="4"/>
      <c r="L29" s="150" t="s">
        <v>538</v>
      </c>
      <c r="M29" s="150">
        <v>86.473125046597005</v>
      </c>
      <c r="N29" s="150">
        <v>86.473095741041291</v>
      </c>
      <c r="O29" s="150">
        <v>86.473095741041291</v>
      </c>
      <c r="P29" s="150">
        <v>86.473095741041206</v>
      </c>
      <c r="Q29" s="150">
        <v>86.473095741041291</v>
      </c>
      <c r="R29" s="150">
        <v>86.473095741041419</v>
      </c>
      <c r="S29" s="150">
        <v>86.473095741041291</v>
      </c>
      <c r="T29" s="149">
        <v>-1.129659665810578E-6</v>
      </c>
    </row>
    <row r="30" spans="1:20" x14ac:dyDescent="0.2">
      <c r="A30" s="4"/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L30" s="150" t="s">
        <v>537</v>
      </c>
      <c r="M30" s="150">
        <v>10.8233406603</v>
      </c>
      <c r="N30" s="150">
        <v>20.236711116607701</v>
      </c>
      <c r="O30" s="150">
        <v>34.442182451757198</v>
      </c>
      <c r="P30" s="150">
        <v>62.074993783811998</v>
      </c>
      <c r="Q30" s="150">
        <v>120.386879286881</v>
      </c>
      <c r="R30" s="150">
        <v>211.94342099432399</v>
      </c>
      <c r="S30" s="150">
        <v>276.58360813004799</v>
      </c>
      <c r="T30" s="149">
        <v>11.40777575338379</v>
      </c>
    </row>
    <row r="31" spans="1:20" x14ac:dyDescent="0.2">
      <c r="A31" s="4"/>
      <c r="B31" s="189"/>
      <c r="C31" s="175"/>
      <c r="D31" s="175"/>
      <c r="E31" s="175"/>
      <c r="F31" s="175"/>
      <c r="G31" s="175"/>
      <c r="H31" s="175"/>
      <c r="I31" s="174"/>
      <c r="J31" s="8"/>
      <c r="L31" s="150" t="s">
        <v>536</v>
      </c>
      <c r="M31" s="150">
        <v>3.49782566168009</v>
      </c>
      <c r="N31" s="150">
        <v>3.49782566168009</v>
      </c>
      <c r="O31" s="150">
        <v>3.49782566168009</v>
      </c>
      <c r="P31" s="150">
        <v>3.49782566168009</v>
      </c>
      <c r="Q31" s="150">
        <v>3.49782566168009</v>
      </c>
      <c r="R31" s="150">
        <v>3.49782566168009</v>
      </c>
      <c r="S31" s="150">
        <v>3.49782566168009</v>
      </c>
      <c r="T31" s="149">
        <v>0</v>
      </c>
    </row>
    <row r="32" spans="1:20" x14ac:dyDescent="0.2">
      <c r="A32" s="4"/>
      <c r="B32" s="99">
        <v>2020</v>
      </c>
      <c r="C32" s="171">
        <f t="shared" ref="C32:C38" si="3">C20/J20</f>
        <v>0.29537993662053558</v>
      </c>
      <c r="D32" s="171">
        <f t="shared" ref="D32:D38" si="4">D20/J20</f>
        <v>0.38239902897193223</v>
      </c>
      <c r="E32" s="171">
        <f t="shared" ref="E32:E38" si="5">E20/J20</f>
        <v>6.0104844536205536E-2</v>
      </c>
      <c r="F32" s="171">
        <f t="shared" ref="F32:F38" si="6">F20/J20</f>
        <v>9.018340730488153E-2</v>
      </c>
      <c r="G32" s="171">
        <f t="shared" ref="G32:G38" si="7">G20/J20</f>
        <v>9.629096088791346E-2</v>
      </c>
      <c r="H32" s="171">
        <f t="shared" ref="H32:H38" si="8">H20/J20</f>
        <v>1.1287735219946608E-2</v>
      </c>
      <c r="I32" s="170">
        <f t="shared" ref="I32:I38" si="9">I20/J20</f>
        <v>6.4354086458585022E-2</v>
      </c>
      <c r="J32" s="4"/>
      <c r="L32" s="150" t="s">
        <v>535</v>
      </c>
      <c r="M32" s="150">
        <v>92.329404605084306</v>
      </c>
      <c r="N32" s="150">
        <v>92.329404605084306</v>
      </c>
      <c r="O32" s="150">
        <v>92.329404605084306</v>
      </c>
      <c r="P32" s="150">
        <v>92.329404605084306</v>
      </c>
      <c r="Q32" s="150">
        <v>92.329404605084306</v>
      </c>
      <c r="R32" s="150">
        <v>92.329404605084306</v>
      </c>
      <c r="S32" s="150">
        <v>92.329404605084306</v>
      </c>
      <c r="T32" s="149">
        <v>0</v>
      </c>
    </row>
    <row r="33" spans="1:21" x14ac:dyDescent="0.2">
      <c r="A33" s="4"/>
      <c r="B33" s="99">
        <v>2025</v>
      </c>
      <c r="C33" s="171">
        <f t="shared" si="3"/>
        <v>0.25329860531160237</v>
      </c>
      <c r="D33" s="171">
        <f t="shared" si="4"/>
        <v>0.37300913555115012</v>
      </c>
      <c r="E33" s="171">
        <f t="shared" si="5"/>
        <v>0.11443680859571587</v>
      </c>
      <c r="F33" s="171">
        <f t="shared" si="6"/>
        <v>8.5810398575008176E-2</v>
      </c>
      <c r="G33" s="171">
        <f t="shared" si="7"/>
        <v>9.1621826898411834E-2</v>
      </c>
      <c r="H33" s="171">
        <f t="shared" si="8"/>
        <v>2.00816246010634E-2</v>
      </c>
      <c r="I33" s="170">
        <f t="shared" si="9"/>
        <v>6.1741600467048102E-2</v>
      </c>
      <c r="J33" s="4"/>
      <c r="L33" s="150" t="s">
        <v>534</v>
      </c>
      <c r="M33" s="150">
        <v>10.522994822541101</v>
      </c>
      <c r="N33" s="150">
        <v>11.035040020323819</v>
      </c>
      <c r="O33" s="150">
        <v>11.174815306453279</v>
      </c>
      <c r="P33" s="150">
        <v>11.22589644668424</v>
      </c>
      <c r="Q33" s="150">
        <v>11.730288813764661</v>
      </c>
      <c r="R33" s="150">
        <v>12.792964056790639</v>
      </c>
      <c r="S33" s="150">
        <v>13.098385317673261</v>
      </c>
      <c r="T33" s="149">
        <v>0.73242292032296152</v>
      </c>
    </row>
    <row r="34" spans="1:21" ht="17" thickBot="1" x14ac:dyDescent="0.25">
      <c r="A34" s="4"/>
      <c r="B34" s="99">
        <v>2030</v>
      </c>
      <c r="C34" s="171">
        <f t="shared" si="3"/>
        <v>0.24629679050806488</v>
      </c>
      <c r="D34" s="171">
        <f t="shared" si="4"/>
        <v>0.36866614676310866</v>
      </c>
      <c r="E34" s="171">
        <f t="shared" si="5"/>
        <v>0.13670494017130319</v>
      </c>
      <c r="F34" s="171">
        <f t="shared" si="6"/>
        <v>8.4807106482647887E-2</v>
      </c>
      <c r="G34" s="171">
        <f t="shared" si="7"/>
        <v>9.0550587795211204E-2</v>
      </c>
      <c r="H34" s="171">
        <f t="shared" si="8"/>
        <v>3.3778619923915135E-2</v>
      </c>
      <c r="I34" s="170">
        <f t="shared" si="9"/>
        <v>3.9195808355749026E-2</v>
      </c>
      <c r="J34" s="4"/>
      <c r="L34" s="150" t="s">
        <v>533</v>
      </c>
      <c r="M34" s="150">
        <v>958.85848218463002</v>
      </c>
      <c r="N34" s="150">
        <v>1007.722807224276</v>
      </c>
      <c r="O34" s="150">
        <v>1019.6444534837919</v>
      </c>
      <c r="P34" s="150">
        <v>1023.60558542839</v>
      </c>
      <c r="Q34" s="150">
        <v>1025.8449374546551</v>
      </c>
      <c r="R34" s="150">
        <v>1026.5148929529059</v>
      </c>
      <c r="S34" s="150">
        <v>1037.747266340959</v>
      </c>
      <c r="T34" s="149">
        <v>0.2638944461003323</v>
      </c>
    </row>
    <row r="35" spans="1:21" ht="17" customHeight="1" thickBot="1" x14ac:dyDescent="0.25">
      <c r="A35" s="4"/>
      <c r="B35" s="99">
        <v>2035</v>
      </c>
      <c r="C35" s="171">
        <f t="shared" si="3"/>
        <v>0.27380402480124327</v>
      </c>
      <c r="D35" s="171">
        <f t="shared" si="4"/>
        <v>0.3255077783183456</v>
      </c>
      <c r="E35" s="171">
        <f t="shared" si="5"/>
        <v>0.13617592165752651</v>
      </c>
      <c r="F35" s="171">
        <f t="shared" si="6"/>
        <v>8.4478921346302818E-2</v>
      </c>
      <c r="G35" s="171">
        <f t="shared" si="7"/>
        <v>9.0200176629989234E-2</v>
      </c>
      <c r="H35" s="171">
        <f t="shared" si="8"/>
        <v>6.0643469191146458E-2</v>
      </c>
      <c r="I35" s="170">
        <f t="shared" si="9"/>
        <v>2.9189708055446097E-2</v>
      </c>
      <c r="J35" s="4"/>
      <c r="L35" s="146" t="s">
        <v>532</v>
      </c>
      <c r="M35" s="146"/>
      <c r="N35" s="146"/>
      <c r="O35" s="146"/>
      <c r="P35" s="146"/>
      <c r="Q35" s="146"/>
      <c r="R35" s="146"/>
      <c r="S35" s="146"/>
      <c r="T35" s="146"/>
    </row>
    <row r="36" spans="1:21" ht="17" thickBot="1" x14ac:dyDescent="0.25">
      <c r="A36" s="4"/>
      <c r="B36" s="99">
        <v>2040</v>
      </c>
      <c r="C36" s="171">
        <f t="shared" si="3"/>
        <v>0.27783403721646627</v>
      </c>
      <c r="D36" s="171">
        <f t="shared" si="4"/>
        <v>0.28841514248386785</v>
      </c>
      <c r="E36" s="171">
        <f t="shared" si="5"/>
        <v>0.11814338169760696</v>
      </c>
      <c r="F36" s="171">
        <f t="shared" si="6"/>
        <v>8.4294509417378372E-2</v>
      </c>
      <c r="G36" s="171">
        <f t="shared" si="7"/>
        <v>9.0003275577080613E-2</v>
      </c>
      <c r="H36" s="171">
        <f t="shared" si="8"/>
        <v>0.11735387570911755</v>
      </c>
      <c r="I36" s="170">
        <f t="shared" si="9"/>
        <v>2.395577789848246E-2</v>
      </c>
      <c r="J36" s="4"/>
      <c r="L36" s="146"/>
      <c r="M36" s="146"/>
      <c r="N36" s="146"/>
      <c r="O36" s="146"/>
      <c r="P36" s="146"/>
      <c r="Q36" s="146"/>
      <c r="R36" s="146"/>
      <c r="S36" s="146"/>
      <c r="T36" s="146"/>
    </row>
    <row r="37" spans="1:21" ht="17" thickBot="1" x14ac:dyDescent="0.25">
      <c r="A37" s="4"/>
      <c r="B37" s="99">
        <v>2045</v>
      </c>
      <c r="C37" s="171">
        <f t="shared" si="3"/>
        <v>0.24325729559558659</v>
      </c>
      <c r="D37" s="171">
        <f t="shared" si="4"/>
        <v>0.25537406839117111</v>
      </c>
      <c r="E37" s="171">
        <f t="shared" si="5"/>
        <v>9.9571977677734735E-2</v>
      </c>
      <c r="F37" s="171">
        <f t="shared" si="6"/>
        <v>8.4239494560366404E-2</v>
      </c>
      <c r="G37" s="171">
        <f t="shared" si="7"/>
        <v>8.9944534890756961E-2</v>
      </c>
      <c r="H37" s="171">
        <f t="shared" si="8"/>
        <v>0.20646891969062492</v>
      </c>
      <c r="I37" s="170">
        <f t="shared" si="9"/>
        <v>2.1143709193759165E-2</v>
      </c>
      <c r="J37" s="4"/>
      <c r="L37" s="146"/>
      <c r="M37" s="146"/>
      <c r="N37" s="146"/>
      <c r="O37" s="146"/>
      <c r="P37" s="146"/>
      <c r="Q37" s="146"/>
      <c r="R37" s="146"/>
      <c r="S37" s="146"/>
      <c r="T37" s="146"/>
    </row>
    <row r="38" spans="1:21" ht="17" thickBot="1" x14ac:dyDescent="0.25">
      <c r="A38" s="4"/>
      <c r="B38" s="98">
        <v>2050</v>
      </c>
      <c r="C38" s="171">
        <f t="shared" si="3"/>
        <v>0.19907483409725768</v>
      </c>
      <c r="D38" s="171">
        <f t="shared" si="4"/>
        <v>0.24378454368654964</v>
      </c>
      <c r="E38" s="171">
        <f t="shared" si="5"/>
        <v>9.8494230071415639E-2</v>
      </c>
      <c r="F38" s="171">
        <f t="shared" si="6"/>
        <v>8.332770275169292E-2</v>
      </c>
      <c r="G38" s="171">
        <f t="shared" si="7"/>
        <v>8.897099284167026E-2</v>
      </c>
      <c r="H38" s="171">
        <f t="shared" si="8"/>
        <v>0.26652309006340918</v>
      </c>
      <c r="I38" s="170">
        <f t="shared" si="9"/>
        <v>1.9824606488004669E-2</v>
      </c>
      <c r="J38" s="4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1:21" ht="17" thickBot="1" x14ac:dyDescent="0.25">
      <c r="A39" s="4"/>
      <c r="B39" s="226"/>
      <c r="C39" s="225"/>
      <c r="D39" s="225"/>
      <c r="E39" s="225"/>
      <c r="F39" s="225"/>
      <c r="G39" s="225"/>
      <c r="H39" s="225"/>
      <c r="I39" s="224"/>
      <c r="J39" s="4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1:21" ht="17" thickBo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1:21" ht="17" thickBo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1:21" ht="20" thickBot="1" x14ac:dyDescent="0.25">
      <c r="A42" s="4"/>
      <c r="B42" s="331" t="s">
        <v>578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1:21" ht="17" thickBot="1" x14ac:dyDescent="0.25">
      <c r="A43" s="4"/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1:21" ht="17" thickBot="1" x14ac:dyDescent="0.25">
      <c r="A44" s="4"/>
      <c r="B44" s="189"/>
      <c r="C44" s="158"/>
      <c r="D44" s="158"/>
      <c r="E44" s="158"/>
      <c r="F44" s="158"/>
      <c r="G44" s="158"/>
      <c r="H44" s="158"/>
      <c r="I44" s="220"/>
      <c r="J44" s="155"/>
      <c r="K44" s="155"/>
      <c r="L44" s="151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1:21" x14ac:dyDescent="0.2">
      <c r="A45" s="4"/>
      <c r="B45" s="99">
        <v>2020</v>
      </c>
      <c r="C45" s="158">
        <f t="shared" ref="C45:C51" si="10">C32*$J$8</f>
        <v>295.67531655715612</v>
      </c>
      <c r="D45" s="158">
        <f t="shared" ref="D45:D51" si="11">D32*$J$9</f>
        <v>179.34514458783622</v>
      </c>
      <c r="E45" s="158">
        <f t="shared" ref="E45:E51" si="12">E32*$J$4</f>
        <v>0.96167751257928857</v>
      </c>
      <c r="F45" s="158">
        <f t="shared" ref="F45:F51" si="13">F32*$J$7</f>
        <v>0.36073362921952612</v>
      </c>
      <c r="G45" s="158">
        <f t="shared" ref="G45:G51" si="14">G32*$J$5</f>
        <v>3.3701836310769711</v>
      </c>
      <c r="H45" s="158">
        <f t="shared" ref="H45:H51" si="15">H32*$J$6</f>
        <v>0.13545282263935929</v>
      </c>
      <c r="I45" s="219">
        <f t="shared" ref="I45:I51" si="16">I32*$J$10</f>
        <v>1.1583735562545303</v>
      </c>
      <c r="J45" s="155">
        <f t="shared" ref="J45:J51" si="17">SUM(C45:I45)</f>
        <v>481.006882296762</v>
      </c>
      <c r="K45" s="155">
        <f>$J$8-J45</f>
        <v>519.993117703238</v>
      </c>
      <c r="L45" s="155">
        <f t="shared" ref="L45:L51" si="18">K45/1011</f>
        <v>0.51433542799528986</v>
      </c>
      <c r="M45" s="146"/>
      <c r="N45" s="146"/>
      <c r="O45" s="146"/>
      <c r="P45" s="146"/>
      <c r="Q45" s="146"/>
      <c r="R45" s="146"/>
      <c r="S45" s="146"/>
      <c r="T45" s="146"/>
    </row>
    <row r="46" spans="1:21" x14ac:dyDescent="0.2">
      <c r="A46" s="4"/>
      <c r="B46" s="99">
        <v>2025</v>
      </c>
      <c r="C46" s="158">
        <f t="shared" si="10"/>
        <v>253.55190391691397</v>
      </c>
      <c r="D46" s="158">
        <f t="shared" si="11"/>
        <v>174.94128457348941</v>
      </c>
      <c r="E46" s="158">
        <f t="shared" si="12"/>
        <v>1.8309889375314539</v>
      </c>
      <c r="F46" s="158">
        <f t="shared" si="13"/>
        <v>0.3432415943000327</v>
      </c>
      <c r="G46" s="158">
        <f t="shared" si="14"/>
        <v>3.206763941444414</v>
      </c>
      <c r="H46" s="158">
        <f t="shared" si="15"/>
        <v>0.2409794952127608</v>
      </c>
      <c r="I46" s="219">
        <f t="shared" si="16"/>
        <v>1.1113488084068659</v>
      </c>
      <c r="J46" s="155">
        <f t="shared" si="17"/>
        <v>435.22651126729892</v>
      </c>
      <c r="K46" s="155">
        <f t="shared" ref="K46:K51" si="19">$J$8-J46</f>
        <v>565.77348873270103</v>
      </c>
      <c r="L46" s="155">
        <f t="shared" si="18"/>
        <v>0.55961769409762707</v>
      </c>
    </row>
    <row r="47" spans="1:21" x14ac:dyDescent="0.2">
      <c r="A47" s="4"/>
      <c r="B47" s="99">
        <v>2030</v>
      </c>
      <c r="C47" s="158">
        <f t="shared" si="10"/>
        <v>246.54308729857294</v>
      </c>
      <c r="D47" s="158">
        <f t="shared" si="11"/>
        <v>172.90442283189796</v>
      </c>
      <c r="E47" s="158">
        <f t="shared" si="12"/>
        <v>2.1872790427408511</v>
      </c>
      <c r="F47" s="158">
        <f t="shared" si="13"/>
        <v>0.33922842593059155</v>
      </c>
      <c r="G47" s="158">
        <f t="shared" si="14"/>
        <v>3.1692705728323922</v>
      </c>
      <c r="H47" s="158">
        <f t="shared" si="15"/>
        <v>0.40534343908698162</v>
      </c>
      <c r="I47" s="219">
        <f t="shared" si="16"/>
        <v>0.7055245504034825</v>
      </c>
      <c r="J47" s="155">
        <f t="shared" si="17"/>
        <v>426.25415616146518</v>
      </c>
      <c r="K47" s="155">
        <f t="shared" si="19"/>
        <v>574.74584383853482</v>
      </c>
      <c r="L47" s="155">
        <f t="shared" si="18"/>
        <v>0.56849242713999493</v>
      </c>
    </row>
    <row r="48" spans="1:21" x14ac:dyDescent="0.2">
      <c r="A48" s="4"/>
      <c r="B48" s="99">
        <v>2035</v>
      </c>
      <c r="C48" s="158">
        <f t="shared" si="10"/>
        <v>274.07782882604454</v>
      </c>
      <c r="D48" s="158">
        <f t="shared" si="11"/>
        <v>152.66314803130408</v>
      </c>
      <c r="E48" s="158">
        <f t="shared" si="12"/>
        <v>2.1788147465204242</v>
      </c>
      <c r="F48" s="158">
        <f t="shared" si="13"/>
        <v>0.33791568538521127</v>
      </c>
      <c r="G48" s="158">
        <f t="shared" si="14"/>
        <v>3.1570061820496234</v>
      </c>
      <c r="H48" s="158">
        <f t="shared" si="15"/>
        <v>0.72772163029375747</v>
      </c>
      <c r="I48" s="219">
        <f t="shared" si="16"/>
        <v>0.52541474499802976</v>
      </c>
      <c r="J48" s="155">
        <f t="shared" si="17"/>
        <v>433.66784984659563</v>
      </c>
      <c r="K48" s="155">
        <f t="shared" si="19"/>
        <v>567.33215015340443</v>
      </c>
      <c r="L48" s="155">
        <f t="shared" si="18"/>
        <v>0.56115939678872839</v>
      </c>
    </row>
    <row r="49" spans="1:12" x14ac:dyDescent="0.2">
      <c r="A49" s="4"/>
      <c r="B49" s="99">
        <v>2040</v>
      </c>
      <c r="C49" s="158">
        <f t="shared" si="10"/>
        <v>278.11187125368275</v>
      </c>
      <c r="D49" s="158">
        <f t="shared" si="11"/>
        <v>135.26670182493402</v>
      </c>
      <c r="E49" s="158">
        <f t="shared" si="12"/>
        <v>1.8902941071617114</v>
      </c>
      <c r="F49" s="158">
        <f t="shared" si="13"/>
        <v>0.33717803766951349</v>
      </c>
      <c r="G49" s="158">
        <f t="shared" si="14"/>
        <v>3.1501146451978213</v>
      </c>
      <c r="H49" s="158">
        <f t="shared" si="15"/>
        <v>1.4082465085094107</v>
      </c>
      <c r="I49" s="219">
        <f t="shared" si="16"/>
        <v>0.43120400217268429</v>
      </c>
      <c r="J49" s="155">
        <f t="shared" si="17"/>
        <v>420.59561037932798</v>
      </c>
      <c r="K49" s="155">
        <f t="shared" si="19"/>
        <v>580.40438962067196</v>
      </c>
      <c r="L49" s="155">
        <f t="shared" si="18"/>
        <v>0.57408940615298909</v>
      </c>
    </row>
    <row r="50" spans="1:12" x14ac:dyDescent="0.2">
      <c r="A50" s="4"/>
      <c r="B50" s="99">
        <v>2045</v>
      </c>
      <c r="C50" s="158">
        <f t="shared" si="10"/>
        <v>243.50055289118217</v>
      </c>
      <c r="D50" s="158">
        <f t="shared" si="11"/>
        <v>119.77043807545925</v>
      </c>
      <c r="E50" s="158">
        <f t="shared" si="12"/>
        <v>1.5931516428437558</v>
      </c>
      <c r="F50" s="158">
        <f t="shared" si="13"/>
        <v>0.33695797824146562</v>
      </c>
      <c r="G50" s="158">
        <f t="shared" si="14"/>
        <v>3.1480587211764934</v>
      </c>
      <c r="H50" s="158">
        <f t="shared" si="15"/>
        <v>2.4776270362874993</v>
      </c>
      <c r="I50" s="219">
        <f t="shared" si="16"/>
        <v>0.38058676548766496</v>
      </c>
      <c r="J50" s="155">
        <f t="shared" si="17"/>
        <v>371.2073731106783</v>
      </c>
      <c r="K50" s="155">
        <f t="shared" si="19"/>
        <v>629.7926268893217</v>
      </c>
      <c r="L50" s="155">
        <f t="shared" si="18"/>
        <v>0.62294028376787502</v>
      </c>
    </row>
    <row r="51" spans="1:12" x14ac:dyDescent="0.2">
      <c r="A51" s="4"/>
      <c r="B51" s="98">
        <v>2050</v>
      </c>
      <c r="C51" s="158">
        <f t="shared" si="10"/>
        <v>199.27390893135492</v>
      </c>
      <c r="D51" s="158">
        <f t="shared" si="11"/>
        <v>114.33495098899178</v>
      </c>
      <c r="E51" s="158">
        <f t="shared" si="12"/>
        <v>1.5759076811426502</v>
      </c>
      <c r="F51" s="158">
        <f t="shared" si="13"/>
        <v>0.33331081100677168</v>
      </c>
      <c r="G51" s="158">
        <f t="shared" si="14"/>
        <v>3.1139847494584592</v>
      </c>
      <c r="H51" s="158">
        <f t="shared" si="15"/>
        <v>3.19827708076091</v>
      </c>
      <c r="I51" s="219">
        <f t="shared" si="16"/>
        <v>0.35684291678408403</v>
      </c>
      <c r="J51" s="155">
        <f t="shared" si="17"/>
        <v>322.18718315949963</v>
      </c>
      <c r="K51" s="155">
        <f t="shared" si="19"/>
        <v>678.81281684050032</v>
      </c>
      <c r="L51" s="155">
        <f t="shared" si="18"/>
        <v>0.67142711853659776</v>
      </c>
    </row>
    <row r="52" spans="1:12" x14ac:dyDescent="0.2">
      <c r="A52" s="4"/>
      <c r="B52" s="226"/>
      <c r="C52" s="225"/>
      <c r="D52" s="225"/>
      <c r="E52" s="225"/>
      <c r="F52" s="225"/>
      <c r="G52" s="225"/>
      <c r="H52" s="225"/>
      <c r="I52" s="224"/>
      <c r="J52" s="151"/>
      <c r="K52" s="151"/>
      <c r="L52" s="151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4"/>
    </row>
    <row r="54" spans="1:12" x14ac:dyDescent="0.2">
      <c r="A54" s="4"/>
      <c r="B54" s="4"/>
      <c r="C54" s="4"/>
      <c r="D54" s="4"/>
      <c r="E54" s="4"/>
      <c r="F54" s="4"/>
      <c r="G54" s="4"/>
      <c r="H54" s="4"/>
      <c r="I54" s="4"/>
      <c r="J54" s="4"/>
    </row>
    <row r="55" spans="1:12" ht="19" x14ac:dyDescent="0.2">
      <c r="A55" s="4"/>
      <c r="B55" s="330"/>
      <c r="C55" s="330"/>
      <c r="D55" s="330"/>
      <c r="E55" s="330"/>
      <c r="F55" s="330"/>
      <c r="G55" s="330"/>
      <c r="H55" s="330"/>
      <c r="I55" s="330"/>
      <c r="J55" s="4"/>
    </row>
    <row r="56" spans="1:12" x14ac:dyDescent="0.2">
      <c r="A56" s="4"/>
      <c r="B56" s="147"/>
      <c r="C56" s="147"/>
      <c r="D56" s="147"/>
      <c r="E56" s="147"/>
      <c r="F56" s="147"/>
      <c r="G56" s="147"/>
      <c r="H56" s="147"/>
      <c r="I56" s="147"/>
      <c r="J56" s="4"/>
    </row>
    <row r="57" spans="1:12" x14ac:dyDescent="0.2">
      <c r="A57" s="4"/>
      <c r="B57" s="218"/>
      <c r="C57" s="145"/>
      <c r="D57" s="145"/>
      <c r="E57" s="145"/>
      <c r="F57" s="145"/>
      <c r="G57" s="145"/>
      <c r="H57" s="145"/>
      <c r="I57" s="145"/>
      <c r="J57" s="223"/>
    </row>
    <row r="58" spans="1:12" x14ac:dyDescent="0.2">
      <c r="A58" s="4"/>
      <c r="B58" s="218"/>
      <c r="C58" s="145"/>
      <c r="D58" s="145"/>
      <c r="E58" s="145"/>
      <c r="F58" s="145"/>
      <c r="G58" s="145"/>
      <c r="H58" s="145"/>
      <c r="I58" s="145"/>
    </row>
    <row r="59" spans="1:12" x14ac:dyDescent="0.2">
      <c r="A59" s="4"/>
      <c r="B59" s="218"/>
      <c r="C59" s="145"/>
      <c r="D59" s="145"/>
      <c r="E59" s="145"/>
      <c r="F59" s="145"/>
      <c r="G59" s="145"/>
      <c r="H59" s="145"/>
      <c r="I59" s="145"/>
    </row>
    <row r="60" spans="1:12" x14ac:dyDescent="0.2">
      <c r="A60" s="4"/>
      <c r="B60" s="218"/>
      <c r="C60" s="145"/>
      <c r="D60" s="145"/>
      <c r="E60" s="145"/>
      <c r="F60" s="145"/>
      <c r="G60" s="145"/>
      <c r="H60" s="145"/>
      <c r="I60" s="145"/>
      <c r="J60" s="223"/>
    </row>
    <row r="61" spans="1:12" x14ac:dyDescent="0.2">
      <c r="A61" s="4"/>
      <c r="B61" s="218"/>
      <c r="C61" s="145"/>
      <c r="D61" s="145"/>
      <c r="E61" s="145"/>
      <c r="F61" s="145"/>
      <c r="G61" s="145"/>
      <c r="H61" s="145"/>
      <c r="I61" s="145"/>
      <c r="J61" s="223"/>
    </row>
    <row r="62" spans="1:12" x14ac:dyDescent="0.2">
      <c r="A62" s="4"/>
      <c r="B62" s="222"/>
      <c r="C62" s="222"/>
      <c r="D62" s="222"/>
      <c r="E62" s="222"/>
      <c r="F62" s="222"/>
      <c r="G62" s="222"/>
      <c r="H62" s="222"/>
      <c r="I62" s="222"/>
      <c r="J62" s="4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  <c r="J63" s="4"/>
    </row>
    <row r="64" spans="1:12" x14ac:dyDescent="0.2">
      <c r="A64" s="4"/>
      <c r="B64" s="4"/>
      <c r="C64" s="4"/>
      <c r="D64" s="4"/>
      <c r="E64" s="4"/>
      <c r="F64" s="4"/>
      <c r="G64" s="4"/>
      <c r="H64" s="4"/>
      <c r="I64" s="4"/>
      <c r="J64" s="4"/>
    </row>
    <row r="65" spans="2:10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</row>
    <row r="66" spans="2:10" x14ac:dyDescent="0.2">
      <c r="B66" s="147"/>
      <c r="C66" s="147"/>
      <c r="D66" s="147"/>
      <c r="E66" s="147"/>
      <c r="F66" s="147"/>
      <c r="G66" s="147"/>
      <c r="H66" s="147"/>
      <c r="I66" s="147"/>
      <c r="J66" s="218"/>
    </row>
    <row r="67" spans="2:10" x14ac:dyDescent="0.2">
      <c r="B67" s="218"/>
      <c r="C67" s="145"/>
      <c r="D67" s="145"/>
      <c r="E67" s="145"/>
      <c r="F67" s="145"/>
      <c r="G67" s="145"/>
      <c r="H67" s="145"/>
      <c r="I67" s="145"/>
      <c r="J67" s="145"/>
    </row>
    <row r="68" spans="2:10" x14ac:dyDescent="0.2">
      <c r="B68" s="218"/>
      <c r="C68" s="145"/>
      <c r="D68" s="145"/>
      <c r="E68" s="145"/>
      <c r="F68" s="145"/>
      <c r="G68" s="145"/>
      <c r="H68" s="145"/>
      <c r="I68" s="145"/>
      <c r="J68" s="145"/>
    </row>
    <row r="69" spans="2:10" x14ac:dyDescent="0.2">
      <c r="B69" s="218"/>
      <c r="C69" s="145"/>
      <c r="D69" s="145"/>
      <c r="E69" s="145"/>
      <c r="F69" s="145"/>
      <c r="G69" s="145"/>
      <c r="H69" s="145"/>
      <c r="I69" s="145"/>
      <c r="J69" s="145"/>
    </row>
    <row r="70" spans="2:10" x14ac:dyDescent="0.2">
      <c r="B70" s="218"/>
      <c r="C70" s="145"/>
      <c r="D70" s="145"/>
      <c r="E70" s="145"/>
      <c r="F70" s="145"/>
      <c r="G70" s="145"/>
      <c r="H70" s="145"/>
      <c r="I70" s="145"/>
      <c r="J70" s="145"/>
    </row>
    <row r="71" spans="2:10" x14ac:dyDescent="0.2">
      <c r="B71" s="218"/>
      <c r="C71" s="145"/>
      <c r="D71" s="145"/>
      <c r="E71" s="145"/>
      <c r="F71" s="145"/>
      <c r="G71" s="145"/>
      <c r="H71" s="145"/>
      <c r="I71" s="145"/>
      <c r="J71" s="145"/>
    </row>
    <row r="72" spans="2:10" x14ac:dyDescent="0.2">
      <c r="B72" s="222"/>
      <c r="C72" s="222"/>
      <c r="D72" s="222"/>
      <c r="E72" s="222"/>
      <c r="F72" s="222"/>
      <c r="G72" s="222"/>
      <c r="H72" s="222"/>
      <c r="I72" s="222"/>
      <c r="J72" s="218"/>
    </row>
  </sheetData>
  <mergeCells count="9">
    <mergeCell ref="J42:J43"/>
    <mergeCell ref="K42:K43"/>
    <mergeCell ref="L42:L43"/>
    <mergeCell ref="B2:I2"/>
    <mergeCell ref="B65:I65"/>
    <mergeCell ref="B17:I17"/>
    <mergeCell ref="B29:I29"/>
    <mergeCell ref="B42:I42"/>
    <mergeCell ref="B55:I5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F48F8-1D88-4AE0-9C42-B85A3AD86818}">
  <sheetPr>
    <tabColor theme="6"/>
  </sheetPr>
  <dimension ref="A1:U72"/>
  <sheetViews>
    <sheetView topLeftCell="B3" workbookViewId="0">
      <selection activeCell="J4" sqref="J4:J10"/>
    </sheetView>
  </sheetViews>
  <sheetFormatPr baseColWidth="10" defaultColWidth="11" defaultRowHeight="16" x14ac:dyDescent="0.2"/>
  <cols>
    <col min="5" max="5" width="15.1640625" customWidth="1"/>
    <col min="10" max="10" width="13" customWidth="1"/>
  </cols>
  <sheetData>
    <row r="1" spans="1:11" x14ac:dyDescent="0.2">
      <c r="A1" s="4" t="s">
        <v>467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68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35" t="s">
        <v>527</v>
      </c>
      <c r="J3" s="39" t="s">
        <v>460</v>
      </c>
      <c r="K3" s="213"/>
    </row>
    <row r="4" spans="1:11" x14ac:dyDescent="0.2">
      <c r="A4" s="4"/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A5" s="4"/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A6" s="4"/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A7" s="4"/>
      <c r="B7" s="209">
        <f>JAPAN!J8</f>
        <v>1001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A8" s="4"/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A9" s="4"/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A10" s="4"/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A12" s="4"/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20" ht="19" x14ac:dyDescent="0.2">
      <c r="A17" s="4"/>
      <c r="B17" s="331" t="s">
        <v>586</v>
      </c>
      <c r="C17" s="332"/>
      <c r="D17" s="332"/>
      <c r="E17" s="332"/>
      <c r="F17" s="332"/>
      <c r="G17" s="332"/>
      <c r="H17" s="332"/>
      <c r="I17" s="332"/>
      <c r="J17" s="191"/>
      <c r="K17" s="4"/>
      <c r="L17" s="166" t="s">
        <v>551</v>
      </c>
      <c r="T17" s="165"/>
    </row>
    <row r="18" spans="1:20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80" t="s">
        <v>520</v>
      </c>
      <c r="J18" s="221" t="s">
        <v>463</v>
      </c>
      <c r="K18" s="4"/>
      <c r="L18" s="166" t="s">
        <v>550</v>
      </c>
      <c r="T18" s="165"/>
    </row>
    <row r="19" spans="1:20" x14ac:dyDescent="0.2">
      <c r="A19" s="4"/>
      <c r="B19" s="189"/>
      <c r="C19" s="188"/>
      <c r="D19" s="188"/>
      <c r="E19" s="188"/>
      <c r="F19" s="188"/>
      <c r="G19" s="188"/>
      <c r="H19" s="188"/>
      <c r="I19" s="188"/>
      <c r="J19" s="182"/>
      <c r="K19" s="4"/>
      <c r="T19" s="165"/>
    </row>
    <row r="20" spans="1:20" x14ac:dyDescent="0.2">
      <c r="A20" s="4"/>
      <c r="B20" s="99">
        <v>2020</v>
      </c>
      <c r="C20" s="184">
        <f>M25/1000</f>
        <v>0.1865573462128112</v>
      </c>
      <c r="D20" s="184">
        <f>M24/1000</f>
        <v>0.3511368126893718</v>
      </c>
      <c r="E20" s="184">
        <f>M26/1000</f>
        <v>1.293060029435718E-2</v>
      </c>
      <c r="F20" s="184">
        <f>M28/1000</f>
        <v>0.12993341817437029</v>
      </c>
      <c r="G20" s="184">
        <f>M31/1000</f>
        <v>8.6161160457058419E-3</v>
      </c>
      <c r="H20" s="184">
        <f>M29/1000</f>
        <v>1.3015366519242099E-2</v>
      </c>
      <c r="I20" s="184">
        <f>(M23+M30+M32)/1000</f>
        <v>7.2098745841885747E-2</v>
      </c>
      <c r="J20" s="182">
        <f t="shared" ref="J20:J26" si="2">SUM(C20:I20)</f>
        <v>0.77428840577774416</v>
      </c>
      <c r="K20" s="4"/>
      <c r="L20" s="169" t="s">
        <v>585</v>
      </c>
      <c r="T20" s="165"/>
    </row>
    <row r="21" spans="1:20" x14ac:dyDescent="0.2">
      <c r="A21" s="4"/>
      <c r="B21" s="99">
        <v>2025</v>
      </c>
      <c r="C21" s="184">
        <f>N25/1000</f>
        <v>0.19335098509629731</v>
      </c>
      <c r="D21" s="184">
        <f>N24/1000</f>
        <v>0.35991262792957601</v>
      </c>
      <c r="E21" s="184">
        <f>N26/1000</f>
        <v>1.293060029435718E-2</v>
      </c>
      <c r="F21" s="184">
        <f>N28/1000</f>
        <v>0.17149592546452819</v>
      </c>
      <c r="G21" s="184">
        <f>N31/1000</f>
        <v>3.7843958910793146E-2</v>
      </c>
      <c r="H21" s="184">
        <f>N29/1000</f>
        <v>5.2497725657228031E-2</v>
      </c>
      <c r="I21" s="184">
        <f>(N23+N30+N32)/1000</f>
        <v>8.5745859400034347E-2</v>
      </c>
      <c r="J21" s="182">
        <f t="shared" si="2"/>
        <v>0.91377768275281424</v>
      </c>
      <c r="K21" s="4"/>
      <c r="L21" s="166" t="s">
        <v>544</v>
      </c>
      <c r="T21" s="165"/>
    </row>
    <row r="22" spans="1:20" ht="19" customHeight="1" thickBot="1" x14ac:dyDescent="0.25">
      <c r="A22" s="4"/>
      <c r="B22" s="99">
        <v>2030</v>
      </c>
      <c r="C22" s="184">
        <f>O25/1000</f>
        <v>0.20563026273642568</v>
      </c>
      <c r="D22" s="184">
        <f>O24/1000</f>
        <v>0.419063803021685</v>
      </c>
      <c r="E22" s="184">
        <f>O26/1000</f>
        <v>2.974363276815227E-2</v>
      </c>
      <c r="F22" s="184">
        <f>O28/1000</f>
        <v>0.17588882870313111</v>
      </c>
      <c r="G22" s="184">
        <f>O31/1000</f>
        <v>7.1962573576667119E-2</v>
      </c>
      <c r="H22" s="184">
        <f>O29/1000</f>
        <v>8.5596680291328095E-2</v>
      </c>
      <c r="I22" s="184">
        <f>(O23+O30+O32)/1000</f>
        <v>6.3393782439129895E-2</v>
      </c>
      <c r="J22" s="182">
        <f t="shared" si="2"/>
        <v>1.0512795635365191</v>
      </c>
      <c r="K22" s="4"/>
      <c r="L22" s="160" t="s">
        <v>543</v>
      </c>
      <c r="M22" s="160">
        <v>2020</v>
      </c>
      <c r="N22" s="160">
        <v>2025</v>
      </c>
      <c r="O22" s="160">
        <v>2030</v>
      </c>
      <c r="P22" s="160">
        <v>2035</v>
      </c>
      <c r="Q22" s="160">
        <v>2040</v>
      </c>
      <c r="R22" s="160">
        <v>2045</v>
      </c>
      <c r="S22" s="160">
        <v>2050</v>
      </c>
      <c r="T22" s="159" t="s">
        <v>542</v>
      </c>
    </row>
    <row r="23" spans="1:20" ht="17" thickTop="1" x14ac:dyDescent="0.2">
      <c r="A23" s="4"/>
      <c r="B23" s="99">
        <v>2035</v>
      </c>
      <c r="C23" s="184">
        <f>P25/1000</f>
        <v>0.22163003870354001</v>
      </c>
      <c r="D23" s="184">
        <f>P24/1000</f>
        <v>0.48762239401275931</v>
      </c>
      <c r="E23" s="184">
        <f>P26/1000</f>
        <v>4.2911664577955963E-2</v>
      </c>
      <c r="F23" s="184">
        <f>P28/1000</f>
        <v>0.186624029624743</v>
      </c>
      <c r="G23" s="184">
        <f>P31/1000</f>
        <v>0.13128041680729299</v>
      </c>
      <c r="H23" s="184">
        <f>P29/1000</f>
        <v>9.530781091249324E-2</v>
      </c>
      <c r="I23" s="184">
        <f>(P23+P30+P32)/1000</f>
        <v>5.8094663787824463E-2</v>
      </c>
      <c r="J23" s="182">
        <f t="shared" si="2"/>
        <v>1.2234710184266091</v>
      </c>
      <c r="K23" s="4"/>
      <c r="L23" s="150" t="s">
        <v>541</v>
      </c>
      <c r="M23" s="150">
        <v>65.497007667715025</v>
      </c>
      <c r="N23" s="150">
        <v>65.936660323161902</v>
      </c>
      <c r="O23" s="150">
        <v>22.388721068255531</v>
      </c>
      <c r="P23" s="150">
        <v>4.8789682803198859</v>
      </c>
      <c r="Q23" s="150">
        <v>0.3548348116900889</v>
      </c>
      <c r="R23" s="150">
        <v>0.35822301260368389</v>
      </c>
      <c r="S23" s="150">
        <v>0.358223012603685</v>
      </c>
      <c r="T23" s="149">
        <v>-15.938384102160031</v>
      </c>
    </row>
    <row r="24" spans="1:20" x14ac:dyDescent="0.2">
      <c r="A24" s="4"/>
      <c r="B24" s="99">
        <v>2040</v>
      </c>
      <c r="C24" s="184">
        <f>Q25/1000</f>
        <v>0.20958117916474819</v>
      </c>
      <c r="D24" s="184">
        <f>Q24/1000</f>
        <v>0.51144308860507492</v>
      </c>
      <c r="E24" s="184">
        <f>Q26/1000</f>
        <v>5.2366297051249386E-2</v>
      </c>
      <c r="F24" s="184">
        <f>Q28/1000</f>
        <v>0.2088004270135351</v>
      </c>
      <c r="G24" s="184">
        <f>Q31/1000</f>
        <v>0.2480038087386213</v>
      </c>
      <c r="H24" s="184">
        <f>Q29/1000</f>
        <v>0.10791852417588861</v>
      </c>
      <c r="I24" s="184">
        <f>+(Q23+Q30+Q32)/1000</f>
        <v>7.0407319409474797E-2</v>
      </c>
      <c r="J24" s="182">
        <f t="shared" si="2"/>
        <v>1.4085206441585922</v>
      </c>
      <c r="K24" s="4"/>
      <c r="L24" s="150" t="s">
        <v>540</v>
      </c>
      <c r="M24" s="150">
        <v>351.13681268937182</v>
      </c>
      <c r="N24" s="150">
        <v>359.91262792957599</v>
      </c>
      <c r="O24" s="150">
        <v>419.06380302168498</v>
      </c>
      <c r="P24" s="150">
        <v>487.62239401275929</v>
      </c>
      <c r="Q24" s="150">
        <v>511.44308860507488</v>
      </c>
      <c r="R24" s="150">
        <v>533.49637753456329</v>
      </c>
      <c r="S24" s="150">
        <v>598.23800809064528</v>
      </c>
      <c r="T24" s="149">
        <v>1.791907935912596</v>
      </c>
    </row>
    <row r="25" spans="1:20" x14ac:dyDescent="0.2">
      <c r="B25" s="99">
        <v>2045</v>
      </c>
      <c r="C25" s="184">
        <f>R25/1000</f>
        <v>0.1668635618344326</v>
      </c>
      <c r="D25" s="184">
        <f>R24/1000</f>
        <v>0.53349637753456325</v>
      </c>
      <c r="E25" s="184">
        <f>R26/1000</f>
        <v>5.2366297051249386E-2</v>
      </c>
      <c r="F25" s="184">
        <f>R28/1000</f>
        <v>0.2551267794395996</v>
      </c>
      <c r="G25" s="184">
        <f>R31/1000</f>
        <v>0.39820352060883141</v>
      </c>
      <c r="H25" s="184">
        <f>R29/1000</f>
        <v>0.1205044046286875</v>
      </c>
      <c r="I25" s="184">
        <f>(R23+R30+R32)/1000</f>
        <v>7.5812486942477039E-2</v>
      </c>
      <c r="J25" s="182">
        <f t="shared" si="2"/>
        <v>1.602373428039841</v>
      </c>
      <c r="K25" s="4"/>
      <c r="L25" s="150" t="s">
        <v>446</v>
      </c>
      <c r="M25" s="150">
        <v>186.55734621281121</v>
      </c>
      <c r="N25" s="150">
        <v>193.35098509629731</v>
      </c>
      <c r="O25" s="150">
        <v>205.63026273642569</v>
      </c>
      <c r="P25" s="150">
        <v>221.63003870354001</v>
      </c>
      <c r="Q25" s="150">
        <v>209.58117916474819</v>
      </c>
      <c r="R25" s="150">
        <v>166.8635618344326</v>
      </c>
      <c r="S25" s="150">
        <v>131.45069527086241</v>
      </c>
      <c r="T25" s="149">
        <v>-1.160239494897686</v>
      </c>
    </row>
    <row r="26" spans="1:20" x14ac:dyDescent="0.2">
      <c r="B26" s="98">
        <v>2050</v>
      </c>
      <c r="C26" s="184">
        <f>S25/1000</f>
        <v>0.13145069527086242</v>
      </c>
      <c r="D26" s="184">
        <f>S24/1000</f>
        <v>0.59823800809064531</v>
      </c>
      <c r="E26" s="184">
        <f>S26/1000</f>
        <v>5.2318856262754974E-2</v>
      </c>
      <c r="F26" s="184">
        <f>S28/1000</f>
        <v>0.34221364701753704</v>
      </c>
      <c r="G26" s="184">
        <f>S31/1000</f>
        <v>0.51018297479182539</v>
      </c>
      <c r="H26" s="184">
        <f>S29/1000</f>
        <v>0.1325820306690533</v>
      </c>
      <c r="I26" s="184">
        <f>(S23+S31+S32)/1000</f>
        <v>0.51824130785299571</v>
      </c>
      <c r="J26" s="182">
        <f t="shared" si="2"/>
        <v>2.285227519955674</v>
      </c>
      <c r="K26" s="4"/>
      <c r="L26" s="150" t="s">
        <v>454</v>
      </c>
      <c r="M26" s="150">
        <v>12.930600294357181</v>
      </c>
      <c r="N26" s="150">
        <v>12.930600294357181</v>
      </c>
      <c r="O26" s="150">
        <v>29.743632768152271</v>
      </c>
      <c r="P26" s="150">
        <v>42.91166457795596</v>
      </c>
      <c r="Q26" s="150">
        <v>52.366297051249383</v>
      </c>
      <c r="R26" s="150">
        <v>52.366297051249383</v>
      </c>
      <c r="S26" s="150">
        <v>52.318856262754977</v>
      </c>
      <c r="T26" s="149">
        <v>4.7694470498502284</v>
      </c>
    </row>
    <row r="27" spans="1:20" x14ac:dyDescent="0.2">
      <c r="B27" s="181"/>
      <c r="C27" s="180"/>
      <c r="D27" s="180"/>
      <c r="E27" s="180"/>
      <c r="F27" s="180"/>
      <c r="G27" s="180"/>
      <c r="H27" s="180"/>
      <c r="I27" s="180"/>
      <c r="J27" s="178"/>
      <c r="K27" s="4"/>
      <c r="L27" s="150" t="s">
        <v>539</v>
      </c>
      <c r="M27" s="150">
        <v>158.1666389134889</v>
      </c>
      <c r="N27" s="150">
        <v>281.64680910942178</v>
      </c>
      <c r="O27" s="150">
        <v>374.45314394200062</v>
      </c>
      <c r="P27" s="150">
        <v>466.4279528520338</v>
      </c>
      <c r="Q27" s="150">
        <v>634.77524452582963</v>
      </c>
      <c r="R27" s="150">
        <v>849.28896860699183</v>
      </c>
      <c r="S27" s="150">
        <v>1061.4133138725911</v>
      </c>
      <c r="T27" s="149">
        <v>6.5513577518426116</v>
      </c>
    </row>
    <row r="28" spans="1:20" x14ac:dyDescent="0.2">
      <c r="L28" s="150" t="s">
        <v>538</v>
      </c>
      <c r="M28" s="150">
        <v>129.9334181743703</v>
      </c>
      <c r="N28" s="150">
        <v>171.4959254645282</v>
      </c>
      <c r="O28" s="150">
        <v>175.88882870313111</v>
      </c>
      <c r="P28" s="150">
        <v>186.624029624743</v>
      </c>
      <c r="Q28" s="150">
        <v>208.80042701353511</v>
      </c>
      <c r="R28" s="150">
        <v>255.1267794395996</v>
      </c>
      <c r="S28" s="150">
        <v>342.21364701753703</v>
      </c>
      <c r="T28" s="149">
        <v>3.280710131722353</v>
      </c>
    </row>
    <row r="29" spans="1:20" ht="19" x14ac:dyDescent="0.2">
      <c r="B29" s="331" t="s">
        <v>584</v>
      </c>
      <c r="C29" s="332"/>
      <c r="D29" s="332"/>
      <c r="E29" s="332"/>
      <c r="F29" s="332"/>
      <c r="G29" s="332"/>
      <c r="H29" s="332"/>
      <c r="I29" s="338"/>
      <c r="J29" s="4"/>
      <c r="L29" s="150" t="s">
        <v>537</v>
      </c>
      <c r="M29" s="150">
        <v>13.0153665192421</v>
      </c>
      <c r="N29" s="150">
        <v>52.497725657228031</v>
      </c>
      <c r="O29" s="150">
        <v>85.596680291328099</v>
      </c>
      <c r="P29" s="150">
        <v>95.307810912493238</v>
      </c>
      <c r="Q29" s="150">
        <v>107.91852417588861</v>
      </c>
      <c r="R29" s="150">
        <v>120.5044046286875</v>
      </c>
      <c r="S29" s="150">
        <v>132.5820306690533</v>
      </c>
      <c r="T29" s="149">
        <v>8.0440716210882677</v>
      </c>
    </row>
    <row r="30" spans="1:20" x14ac:dyDescent="0.2"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L30" s="150" t="s">
        <v>536</v>
      </c>
      <c r="M30" s="150">
        <v>4.841964323156982</v>
      </c>
      <c r="N30" s="150">
        <v>17.183256156648941</v>
      </c>
      <c r="O30" s="150">
        <v>36.66034424215016</v>
      </c>
      <c r="P30" s="150">
        <v>48.194727434088158</v>
      </c>
      <c r="Q30" s="150">
        <v>64.294407363484268</v>
      </c>
      <c r="R30" s="150">
        <v>68.733811187648087</v>
      </c>
      <c r="S30" s="150">
        <v>68.734551345608622</v>
      </c>
      <c r="T30" s="149">
        <v>9.2458925455436436</v>
      </c>
    </row>
    <row r="31" spans="1:20" x14ac:dyDescent="0.2">
      <c r="B31" s="189"/>
      <c r="C31" s="175"/>
      <c r="D31" s="175"/>
      <c r="E31" s="175"/>
      <c r="F31" s="175"/>
      <c r="G31" s="175"/>
      <c r="H31" s="175"/>
      <c r="I31" s="174"/>
      <c r="J31" s="8"/>
      <c r="L31" s="150" t="s">
        <v>535</v>
      </c>
      <c r="M31" s="150">
        <v>8.6161160457058426</v>
      </c>
      <c r="N31" s="150">
        <v>37.843958910793148</v>
      </c>
      <c r="O31" s="150">
        <v>71.962573576667126</v>
      </c>
      <c r="P31" s="150">
        <v>131.28041680729299</v>
      </c>
      <c r="Q31" s="150">
        <v>248.0038087386213</v>
      </c>
      <c r="R31" s="150">
        <v>398.20352060883141</v>
      </c>
      <c r="S31" s="150">
        <v>510.18297479182542</v>
      </c>
      <c r="T31" s="149">
        <v>14.572524041414001</v>
      </c>
    </row>
    <row r="32" spans="1:20" x14ac:dyDescent="0.2">
      <c r="B32" s="99">
        <v>2020</v>
      </c>
      <c r="C32" s="175">
        <f t="shared" ref="C32:C38" si="3">C20/J20</f>
        <v>0.24094038451398639</v>
      </c>
      <c r="D32" s="175">
        <f t="shared" ref="D32:D38" si="4">D20/J20</f>
        <v>0.45349615216912337</v>
      </c>
      <c r="E32" s="175">
        <f t="shared" ref="E32:E38" si="5">E20/J20</f>
        <v>1.669997922979212E-2</v>
      </c>
      <c r="F32" s="175">
        <f t="shared" ref="F32:F38" si="6">F20/J20</f>
        <v>0.16781010435492311</v>
      </c>
      <c r="G32" s="175">
        <f t="shared" ref="G32:G38" si="7">G20/J20</f>
        <v>1.1127786470018585E-2</v>
      </c>
      <c r="H32" s="175">
        <f t="shared" ref="H32:H38" si="8">H20/J20</f>
        <v>1.680945552344755E-2</v>
      </c>
      <c r="I32" s="174">
        <f t="shared" ref="I32:I38" si="9">I20/J20</f>
        <v>9.3116137738708887E-2</v>
      </c>
      <c r="J32" s="4"/>
      <c r="L32" s="150" t="s">
        <v>534</v>
      </c>
      <c r="M32" s="150">
        <v>1.759773851013736</v>
      </c>
      <c r="N32" s="150">
        <v>2.6259429202235132</v>
      </c>
      <c r="O32" s="150">
        <v>4.3447171287242021</v>
      </c>
      <c r="P32" s="150">
        <v>5.0209680734164186</v>
      </c>
      <c r="Q32" s="150">
        <v>5.758077234300444</v>
      </c>
      <c r="R32" s="150">
        <v>6.7204527422252669</v>
      </c>
      <c r="S32" s="150">
        <v>7.7001100485667164</v>
      </c>
      <c r="T32" s="149">
        <v>5.0432142505372646</v>
      </c>
    </row>
    <row r="33" spans="2:21" ht="17" thickBot="1" x14ac:dyDescent="0.25">
      <c r="B33" s="99">
        <v>2025</v>
      </c>
      <c r="C33" s="175">
        <f t="shared" si="3"/>
        <v>0.21159521483805008</v>
      </c>
      <c r="D33" s="175">
        <f t="shared" si="4"/>
        <v>0.3938732962325322</v>
      </c>
      <c r="E33" s="175">
        <f t="shared" si="5"/>
        <v>1.4150707046601216E-2</v>
      </c>
      <c r="F33" s="175">
        <f t="shared" si="6"/>
        <v>0.18767795351259361</v>
      </c>
      <c r="G33" s="175">
        <f t="shared" si="7"/>
        <v>4.1414842608965649E-2</v>
      </c>
      <c r="H33" s="175">
        <f t="shared" si="8"/>
        <v>5.7451310803602954E-2</v>
      </c>
      <c r="I33" s="174">
        <f t="shared" si="9"/>
        <v>9.383667495765427E-2</v>
      </c>
      <c r="J33" s="4"/>
      <c r="L33" s="150" t="s">
        <v>533</v>
      </c>
      <c r="M33" s="150">
        <v>774.28840577774406</v>
      </c>
      <c r="N33" s="150">
        <v>913.77768275281437</v>
      </c>
      <c r="O33" s="150">
        <v>1051.2795635365189</v>
      </c>
      <c r="P33" s="150">
        <v>1223.4710184266089</v>
      </c>
      <c r="Q33" s="150">
        <v>1408.5206441585919</v>
      </c>
      <c r="R33" s="150">
        <v>1602.373428039841</v>
      </c>
      <c r="S33" s="150">
        <v>1843.7790965094571</v>
      </c>
      <c r="T33" s="149">
        <v>2.9343210685646159</v>
      </c>
    </row>
    <row r="34" spans="2:21" ht="17" customHeight="1" thickBot="1" x14ac:dyDescent="0.25">
      <c r="B34" s="99">
        <v>2030</v>
      </c>
      <c r="C34" s="175">
        <f t="shared" si="3"/>
        <v>0.19559998107894594</v>
      </c>
      <c r="D34" s="175">
        <f t="shared" si="4"/>
        <v>0.39862260958631074</v>
      </c>
      <c r="E34" s="175">
        <f t="shared" si="5"/>
        <v>2.8292790804469056E-2</v>
      </c>
      <c r="F34" s="175">
        <f t="shared" si="6"/>
        <v>0.16730928175892495</v>
      </c>
      <c r="G34" s="175">
        <f t="shared" si="7"/>
        <v>6.8452366119040708E-2</v>
      </c>
      <c r="H34" s="175">
        <f t="shared" si="8"/>
        <v>8.1421425147255477E-2</v>
      </c>
      <c r="I34" s="174">
        <f t="shared" si="9"/>
        <v>6.030154550505322E-2</v>
      </c>
      <c r="J34" s="4"/>
      <c r="L34" s="146" t="s">
        <v>532</v>
      </c>
      <c r="M34" s="146"/>
      <c r="N34" s="146"/>
      <c r="O34" s="146"/>
      <c r="P34" s="146"/>
      <c r="Q34" s="146"/>
      <c r="R34" s="146"/>
      <c r="S34" s="146"/>
      <c r="T34" s="146"/>
    </row>
    <row r="35" spans="2:21" ht="17" thickBot="1" x14ac:dyDescent="0.25">
      <c r="B35" s="99">
        <v>2035</v>
      </c>
      <c r="C35" s="175">
        <f t="shared" si="3"/>
        <v>0.18114858085364174</v>
      </c>
      <c r="D35" s="175">
        <f t="shared" si="4"/>
        <v>0.39855655480899299</v>
      </c>
      <c r="E35" s="175">
        <f t="shared" si="5"/>
        <v>3.5073707453357264E-2</v>
      </c>
      <c r="F35" s="175">
        <f t="shared" si="6"/>
        <v>0.15253653483736998</v>
      </c>
      <c r="G35" s="175">
        <f t="shared" si="7"/>
        <v>0.10730161551037014</v>
      </c>
      <c r="H35" s="175">
        <f t="shared" si="8"/>
        <v>7.7899524775878748E-2</v>
      </c>
      <c r="I35" s="174">
        <f t="shared" si="9"/>
        <v>4.748348176038901E-2</v>
      </c>
      <c r="J35" s="4"/>
      <c r="L35" s="146"/>
      <c r="M35" s="146"/>
      <c r="N35" s="146"/>
      <c r="O35" s="146"/>
      <c r="P35" s="146"/>
      <c r="Q35" s="146"/>
      <c r="R35" s="146"/>
      <c r="S35" s="146"/>
      <c r="T35" s="146"/>
    </row>
    <row r="36" spans="2:21" ht="17" thickBot="1" x14ac:dyDescent="0.25">
      <c r="B36" s="99">
        <v>2040</v>
      </c>
      <c r="C36" s="175">
        <f t="shared" si="3"/>
        <v>0.14879524842885472</v>
      </c>
      <c r="D36" s="175">
        <f t="shared" si="4"/>
        <v>0.36310656199902247</v>
      </c>
      <c r="E36" s="175">
        <f t="shared" si="5"/>
        <v>3.7178224734172378E-2</v>
      </c>
      <c r="F36" s="175">
        <f t="shared" si="6"/>
        <v>0.14824094192688683</v>
      </c>
      <c r="G36" s="175">
        <f t="shared" si="7"/>
        <v>0.17607396083766405</v>
      </c>
      <c r="H36" s="175">
        <f t="shared" si="8"/>
        <v>7.6618347500583411E-2</v>
      </c>
      <c r="I36" s="174">
        <f t="shared" si="9"/>
        <v>4.9986714572816227E-2</v>
      </c>
      <c r="J36" s="4"/>
      <c r="L36" s="146"/>
      <c r="M36" s="146"/>
      <c r="N36" s="146"/>
      <c r="O36" s="146"/>
      <c r="P36" s="146"/>
      <c r="Q36" s="146"/>
      <c r="R36" s="146"/>
      <c r="S36" s="146"/>
      <c r="T36" s="146"/>
    </row>
    <row r="37" spans="2:21" ht="17" thickBot="1" x14ac:dyDescent="0.25">
      <c r="B37" s="99">
        <v>2045</v>
      </c>
      <c r="C37" s="175">
        <f t="shared" si="3"/>
        <v>0.10413525269109976</v>
      </c>
      <c r="D37" s="175">
        <f t="shared" si="4"/>
        <v>0.33294135324446889</v>
      </c>
      <c r="E37" s="175">
        <f t="shared" si="5"/>
        <v>3.2680457710353002E-2</v>
      </c>
      <c r="F37" s="175">
        <f t="shared" si="6"/>
        <v>0.15921805427820424</v>
      </c>
      <c r="G37" s="175">
        <f t="shared" si="7"/>
        <v>0.24850856463336871</v>
      </c>
      <c r="H37" s="175">
        <f t="shared" si="8"/>
        <v>7.5203696292005226E-2</v>
      </c>
      <c r="I37" s="174">
        <f t="shared" si="9"/>
        <v>4.7312621150500042E-2</v>
      </c>
      <c r="J37" s="4"/>
      <c r="L37" s="146"/>
      <c r="M37" s="146"/>
      <c r="N37" s="146"/>
      <c r="O37" s="146"/>
      <c r="P37" s="146"/>
      <c r="Q37" s="146"/>
      <c r="R37" s="146"/>
      <c r="S37" s="146"/>
      <c r="T37" s="146"/>
    </row>
    <row r="38" spans="2:21" ht="17" thickBot="1" x14ac:dyDescent="0.25">
      <c r="B38" s="98">
        <v>2050</v>
      </c>
      <c r="C38" s="175">
        <f t="shared" si="3"/>
        <v>5.7521929052128752E-2</v>
      </c>
      <c r="D38" s="175">
        <f t="shared" si="4"/>
        <v>0.26178487825240665</v>
      </c>
      <c r="E38" s="175">
        <f t="shared" si="5"/>
        <v>2.2894375201542205E-2</v>
      </c>
      <c r="F38" s="175">
        <f t="shared" si="6"/>
        <v>0.14975036141004239</v>
      </c>
      <c r="G38" s="175">
        <f t="shared" si="7"/>
        <v>0.22325259534845848</v>
      </c>
      <c r="H38" s="175">
        <f t="shared" si="8"/>
        <v>5.8016993717818072E-2</v>
      </c>
      <c r="I38" s="174">
        <f t="shared" si="9"/>
        <v>0.22677886701760352</v>
      </c>
      <c r="J38" s="4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2:21" ht="17" thickBot="1" x14ac:dyDescent="0.25">
      <c r="B39" s="226"/>
      <c r="C39" s="225"/>
      <c r="D39" s="225"/>
      <c r="E39" s="225"/>
      <c r="F39" s="225"/>
      <c r="G39" s="225"/>
      <c r="H39" s="225"/>
      <c r="I39" s="224"/>
      <c r="J39" s="4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2:21" ht="17" thickBot="1" x14ac:dyDescent="0.25">
      <c r="B40" s="4"/>
      <c r="C40" s="4"/>
      <c r="D40" s="4"/>
      <c r="E40" s="4"/>
      <c r="F40" s="4"/>
      <c r="G40" s="4"/>
      <c r="H40" s="4"/>
      <c r="I40" s="4"/>
      <c r="J40" s="4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2:21" ht="17" thickBot="1" x14ac:dyDescent="0.25">
      <c r="B41" s="4"/>
      <c r="C41" s="4"/>
      <c r="D41" s="4"/>
      <c r="E41" s="4"/>
      <c r="F41" s="4"/>
      <c r="G41" s="4"/>
      <c r="H41" s="4"/>
      <c r="I41" s="4"/>
      <c r="J41" s="4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2:21" ht="20" thickBot="1" x14ac:dyDescent="0.25">
      <c r="B42" s="331" t="s">
        <v>583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2:21" ht="17" thickBot="1" x14ac:dyDescent="0.25"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2:21" x14ac:dyDescent="0.2">
      <c r="B44" s="189"/>
      <c r="C44" s="158"/>
      <c r="D44" s="158"/>
      <c r="E44" s="158"/>
      <c r="F44" s="158"/>
      <c r="G44" s="158"/>
      <c r="H44" s="158"/>
      <c r="I44" s="220"/>
      <c r="J44" s="155">
        <f t="shared" ref="J44:J51" si="10">SUM(C44:I44)</f>
        <v>0</v>
      </c>
      <c r="K44" s="155"/>
      <c r="L44" s="155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2:21" x14ac:dyDescent="0.2">
      <c r="B45" s="99">
        <v>2020</v>
      </c>
      <c r="C45" s="158">
        <f t="shared" ref="C45:C51" si="11">C32*$J$8</f>
        <v>241.18132489850038</v>
      </c>
      <c r="D45" s="158">
        <f t="shared" ref="D45:D51" si="12">D32*$J$9</f>
        <v>212.68969536731885</v>
      </c>
      <c r="E45" s="158">
        <f t="shared" ref="E45:E51" si="13">E32*$J$4</f>
        <v>0.26719966767667391</v>
      </c>
      <c r="F45" s="158">
        <f t="shared" ref="F45:F51" si="14">F32*$J$7</f>
        <v>0.67124041741969243</v>
      </c>
      <c r="G45" s="158">
        <f t="shared" ref="G45:G51" si="15">G32*$J$5</f>
        <v>0.3894725264506505</v>
      </c>
      <c r="H45" s="158">
        <f t="shared" ref="H45:H51" si="16">H32*$J$6</f>
        <v>0.2017134662813706</v>
      </c>
      <c r="I45" s="219">
        <f t="shared" ref="I45:I51" si="17">I32*$J$10</f>
        <v>1.6760904792967599</v>
      </c>
      <c r="J45" s="155">
        <f t="shared" si="10"/>
        <v>457.07673682294438</v>
      </c>
      <c r="K45" s="155">
        <f>$J$8-J45</f>
        <v>543.92326317705556</v>
      </c>
      <c r="L45" s="155">
        <f t="shared" ref="L45:L51" si="18">K45/1011</f>
        <v>0.53800520591202328</v>
      </c>
    </row>
    <row r="46" spans="2:21" x14ac:dyDescent="0.2">
      <c r="B46" s="99">
        <v>2025</v>
      </c>
      <c r="C46" s="158">
        <f t="shared" si="11"/>
        <v>211.80681005288812</v>
      </c>
      <c r="D46" s="158">
        <f t="shared" si="12"/>
        <v>184.7265759330576</v>
      </c>
      <c r="E46" s="158">
        <f t="shared" si="13"/>
        <v>0.22641131274561946</v>
      </c>
      <c r="F46" s="158">
        <f t="shared" si="14"/>
        <v>0.75071181405037446</v>
      </c>
      <c r="G46" s="158">
        <f t="shared" si="15"/>
        <v>1.4495194913137976</v>
      </c>
      <c r="H46" s="158">
        <f t="shared" si="16"/>
        <v>0.6894157296432355</v>
      </c>
      <c r="I46" s="219">
        <f t="shared" si="17"/>
        <v>1.6890601492377768</v>
      </c>
      <c r="J46" s="155">
        <f t="shared" si="10"/>
        <v>401.33850448293657</v>
      </c>
      <c r="K46" s="155">
        <f t="shared" ref="K46:K51" si="19">$J$8-J46</f>
        <v>599.66149551706349</v>
      </c>
      <c r="L46" s="155">
        <f t="shared" si="18"/>
        <v>0.59313698864200148</v>
      </c>
    </row>
    <row r="47" spans="2:21" x14ac:dyDescent="0.2">
      <c r="B47" s="99">
        <v>2030</v>
      </c>
      <c r="C47" s="158">
        <f t="shared" si="11"/>
        <v>195.79558106002489</v>
      </c>
      <c r="D47" s="158">
        <f t="shared" si="12"/>
        <v>186.95400389597972</v>
      </c>
      <c r="E47" s="158">
        <f t="shared" si="13"/>
        <v>0.45268465287150489</v>
      </c>
      <c r="F47" s="158">
        <f t="shared" si="14"/>
        <v>0.66923712703569982</v>
      </c>
      <c r="G47" s="158">
        <f t="shared" si="15"/>
        <v>2.3958328141664249</v>
      </c>
      <c r="H47" s="158">
        <f t="shared" si="16"/>
        <v>0.97705710176706573</v>
      </c>
      <c r="I47" s="219">
        <f t="shared" si="17"/>
        <v>1.0854278190909579</v>
      </c>
      <c r="J47" s="155">
        <f t="shared" si="10"/>
        <v>388.32982447093616</v>
      </c>
      <c r="K47" s="155">
        <f t="shared" si="19"/>
        <v>612.67017552906384</v>
      </c>
      <c r="L47" s="155">
        <f t="shared" si="18"/>
        <v>0.60600413009798604</v>
      </c>
    </row>
    <row r="48" spans="2:21" x14ac:dyDescent="0.2">
      <c r="B48" s="99">
        <v>2035</v>
      </c>
      <c r="C48" s="158">
        <f t="shared" si="11"/>
        <v>181.32972943449539</v>
      </c>
      <c r="D48" s="158">
        <f t="shared" si="12"/>
        <v>186.9230242054177</v>
      </c>
      <c r="E48" s="158">
        <f t="shared" si="13"/>
        <v>0.56117931925371622</v>
      </c>
      <c r="F48" s="158">
        <f t="shared" si="14"/>
        <v>0.61014613934947992</v>
      </c>
      <c r="G48" s="158">
        <f t="shared" si="15"/>
        <v>3.7555565428629549</v>
      </c>
      <c r="H48" s="158">
        <f t="shared" si="16"/>
        <v>0.93479429731054497</v>
      </c>
      <c r="I48" s="219">
        <f t="shared" si="17"/>
        <v>0.8547026716870022</v>
      </c>
      <c r="J48" s="155">
        <f t="shared" si="10"/>
        <v>374.96913261037673</v>
      </c>
      <c r="K48" s="155">
        <f t="shared" si="19"/>
        <v>626.03086738962327</v>
      </c>
      <c r="L48" s="155">
        <f t="shared" si="18"/>
        <v>0.61921945340219908</v>
      </c>
    </row>
    <row r="49" spans="2:12" x14ac:dyDescent="0.2">
      <c r="B49" s="99">
        <v>2040</v>
      </c>
      <c r="C49" s="158">
        <f t="shared" si="11"/>
        <v>148.94404367728359</v>
      </c>
      <c r="D49" s="158">
        <f t="shared" si="12"/>
        <v>170.29697757754153</v>
      </c>
      <c r="E49" s="158">
        <f t="shared" si="13"/>
        <v>0.59485159574675806</v>
      </c>
      <c r="F49" s="158">
        <f t="shared" si="14"/>
        <v>0.59296376770754733</v>
      </c>
      <c r="G49" s="158">
        <f t="shared" si="15"/>
        <v>6.1625886293182415</v>
      </c>
      <c r="H49" s="158">
        <f t="shared" si="16"/>
        <v>0.91942017000700094</v>
      </c>
      <c r="I49" s="219">
        <f t="shared" si="17"/>
        <v>0.89976086231069208</v>
      </c>
      <c r="J49" s="155">
        <f t="shared" si="10"/>
        <v>328.41060627991538</v>
      </c>
      <c r="K49" s="155">
        <f t="shared" si="19"/>
        <v>672.58939372008467</v>
      </c>
      <c r="L49" s="155">
        <f t="shared" si="18"/>
        <v>0.66527140822955955</v>
      </c>
    </row>
    <row r="50" spans="2:12" x14ac:dyDescent="0.2">
      <c r="B50" s="99">
        <v>2045</v>
      </c>
      <c r="C50" s="158">
        <f t="shared" si="11"/>
        <v>104.23938794379086</v>
      </c>
      <c r="D50" s="158">
        <f t="shared" si="12"/>
        <v>156.1494946716559</v>
      </c>
      <c r="E50" s="158">
        <f t="shared" si="13"/>
        <v>0.52288732336564803</v>
      </c>
      <c r="F50" s="158">
        <f t="shared" si="14"/>
        <v>0.63687221711281694</v>
      </c>
      <c r="G50" s="158">
        <f t="shared" si="15"/>
        <v>8.6977997621679055</v>
      </c>
      <c r="H50" s="158">
        <f t="shared" si="16"/>
        <v>0.90244435550406266</v>
      </c>
      <c r="I50" s="219">
        <f t="shared" si="17"/>
        <v>0.85162718070900079</v>
      </c>
      <c r="J50" s="155">
        <f t="shared" si="10"/>
        <v>272.00051345430614</v>
      </c>
      <c r="K50" s="155">
        <f t="shared" si="19"/>
        <v>728.9994865456938</v>
      </c>
      <c r="L50" s="155">
        <f t="shared" si="18"/>
        <v>0.72106774139039942</v>
      </c>
    </row>
    <row r="51" spans="2:12" x14ac:dyDescent="0.2">
      <c r="B51" s="98">
        <v>2050</v>
      </c>
      <c r="C51" s="158">
        <f t="shared" si="11"/>
        <v>57.579450981180884</v>
      </c>
      <c r="D51" s="158">
        <f t="shared" si="12"/>
        <v>122.77710790037872</v>
      </c>
      <c r="E51" s="158">
        <f t="shared" si="13"/>
        <v>0.36631000322467527</v>
      </c>
      <c r="F51" s="158">
        <f t="shared" si="14"/>
        <v>0.59900144564016955</v>
      </c>
      <c r="G51" s="158">
        <f t="shared" si="15"/>
        <v>7.8138408371960466</v>
      </c>
      <c r="H51" s="158">
        <f t="shared" si="16"/>
        <v>0.69620392461381686</v>
      </c>
      <c r="I51" s="219">
        <f t="shared" si="17"/>
        <v>4.0820196063168632</v>
      </c>
      <c r="J51" s="155">
        <f t="shared" si="10"/>
        <v>193.91393469855117</v>
      </c>
      <c r="K51" s="155">
        <f t="shared" si="19"/>
        <v>807.0860653014488</v>
      </c>
      <c r="L51" s="155">
        <f t="shared" si="18"/>
        <v>0.79830471345346077</v>
      </c>
    </row>
    <row r="52" spans="2:12" x14ac:dyDescent="0.2">
      <c r="B52" s="226"/>
      <c r="C52" s="225"/>
      <c r="D52" s="225"/>
      <c r="E52" s="225"/>
      <c r="F52" s="225"/>
      <c r="G52" s="225"/>
      <c r="H52" s="225"/>
      <c r="I52" s="224"/>
      <c r="J52" s="151"/>
      <c r="K52" s="151"/>
      <c r="L52" s="151"/>
    </row>
    <row r="53" spans="2:12" x14ac:dyDescent="0.2">
      <c r="B53" s="4"/>
      <c r="C53" s="4"/>
      <c r="D53" s="4"/>
      <c r="E53" s="4"/>
      <c r="F53" s="4"/>
      <c r="G53" s="4"/>
      <c r="H53" s="4"/>
      <c r="I53" s="4"/>
      <c r="J53" s="4"/>
    </row>
    <row r="54" spans="2:12" x14ac:dyDescent="0.2">
      <c r="B54" s="4"/>
      <c r="C54" s="4"/>
      <c r="D54" s="4"/>
      <c r="E54" s="4"/>
      <c r="F54" s="4"/>
      <c r="G54" s="4"/>
      <c r="H54" s="4"/>
      <c r="I54" s="4"/>
    </row>
    <row r="55" spans="2:12" ht="19" x14ac:dyDescent="0.2">
      <c r="B55" s="330"/>
      <c r="C55" s="330"/>
      <c r="D55" s="330"/>
      <c r="E55" s="330"/>
      <c r="F55" s="330"/>
      <c r="G55" s="330"/>
      <c r="H55" s="330"/>
      <c r="I55" s="330"/>
    </row>
    <row r="56" spans="2:12" x14ac:dyDescent="0.2">
      <c r="B56" s="147"/>
      <c r="C56" s="147"/>
      <c r="D56" s="147"/>
      <c r="E56" s="147"/>
      <c r="F56" s="147"/>
      <c r="G56" s="147"/>
      <c r="H56" s="147"/>
      <c r="I56" s="147"/>
      <c r="J56" s="4"/>
    </row>
    <row r="57" spans="2:12" x14ac:dyDescent="0.2">
      <c r="B57" s="218"/>
      <c r="C57" s="145"/>
      <c r="D57" s="145"/>
      <c r="E57" s="145"/>
      <c r="F57" s="145"/>
      <c r="G57" s="145"/>
      <c r="H57" s="145"/>
      <c r="I57" s="145"/>
      <c r="J57" s="223"/>
    </row>
    <row r="58" spans="2:12" x14ac:dyDescent="0.2">
      <c r="B58" s="218"/>
      <c r="C58" s="145"/>
      <c r="D58" s="145"/>
      <c r="E58" s="145"/>
      <c r="F58" s="145"/>
      <c r="G58" s="145"/>
      <c r="H58" s="145"/>
      <c r="I58" s="145"/>
      <c r="J58" s="223"/>
    </row>
    <row r="59" spans="2:12" x14ac:dyDescent="0.2">
      <c r="B59" s="218"/>
      <c r="C59" s="145"/>
      <c r="D59" s="145"/>
      <c r="E59" s="145"/>
      <c r="F59" s="145"/>
      <c r="G59" s="145"/>
      <c r="H59" s="145"/>
      <c r="I59" s="145"/>
      <c r="J59" s="223"/>
    </row>
    <row r="60" spans="2:12" x14ac:dyDescent="0.2">
      <c r="B60" s="218"/>
      <c r="C60" s="145"/>
      <c r="D60" s="145"/>
      <c r="E60" s="145"/>
      <c r="F60" s="145"/>
      <c r="G60" s="145"/>
      <c r="H60" s="145"/>
      <c r="I60" s="145"/>
      <c r="J60" s="223"/>
    </row>
    <row r="61" spans="2:12" x14ac:dyDescent="0.2">
      <c r="B61" s="218"/>
      <c r="C61" s="145"/>
      <c r="D61" s="145"/>
      <c r="E61" s="145"/>
      <c r="F61" s="145"/>
      <c r="G61" s="145"/>
      <c r="H61" s="145"/>
      <c r="I61" s="145"/>
      <c r="J61" s="223"/>
    </row>
    <row r="62" spans="2:12" x14ac:dyDescent="0.2">
      <c r="B62" s="222"/>
      <c r="C62" s="222"/>
      <c r="D62" s="222"/>
      <c r="E62" s="222"/>
      <c r="F62" s="222"/>
      <c r="G62" s="222"/>
      <c r="H62" s="222"/>
      <c r="I62" s="222"/>
      <c r="J62" s="4"/>
    </row>
    <row r="63" spans="2:12" x14ac:dyDescent="0.2">
      <c r="B63" s="4"/>
      <c r="C63" s="4"/>
      <c r="D63" s="4"/>
      <c r="E63" s="4"/>
      <c r="F63" s="4"/>
      <c r="G63" s="4"/>
      <c r="H63" s="4"/>
      <c r="I63" s="4"/>
      <c r="J63" s="4"/>
    </row>
    <row r="64" spans="2:12" x14ac:dyDescent="0.2">
      <c r="B64" s="4"/>
      <c r="C64" s="4"/>
      <c r="D64" s="4"/>
      <c r="E64" s="4"/>
      <c r="F64" s="4"/>
      <c r="G64" s="4"/>
      <c r="H64" s="4"/>
      <c r="I64" s="4"/>
      <c r="J64" s="4"/>
    </row>
    <row r="65" spans="2:10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</row>
    <row r="66" spans="2:10" x14ac:dyDescent="0.2">
      <c r="B66" s="147"/>
      <c r="C66" s="147"/>
      <c r="D66" s="147"/>
      <c r="E66" s="147"/>
      <c r="F66" s="147"/>
      <c r="G66" s="147"/>
      <c r="H66" s="147"/>
      <c r="I66" s="147"/>
      <c r="J66" s="218"/>
    </row>
    <row r="67" spans="2:10" x14ac:dyDescent="0.2">
      <c r="B67" s="218"/>
      <c r="C67" s="145"/>
      <c r="D67" s="145"/>
      <c r="E67" s="145"/>
      <c r="F67" s="145"/>
      <c r="G67" s="145"/>
      <c r="H67" s="145"/>
      <c r="I67" s="145"/>
      <c r="J67" s="145"/>
    </row>
    <row r="68" spans="2:10" x14ac:dyDescent="0.2">
      <c r="B68" s="218"/>
      <c r="C68" s="145"/>
      <c r="D68" s="145"/>
      <c r="E68" s="145"/>
      <c r="F68" s="145"/>
      <c r="G68" s="145"/>
      <c r="H68" s="145"/>
      <c r="I68" s="145"/>
      <c r="J68" s="145"/>
    </row>
    <row r="69" spans="2:10" x14ac:dyDescent="0.2">
      <c r="B69" s="218"/>
      <c r="C69" s="145"/>
      <c r="D69" s="145"/>
      <c r="E69" s="145"/>
      <c r="F69" s="145"/>
      <c r="G69" s="145"/>
      <c r="H69" s="145"/>
      <c r="I69" s="145"/>
      <c r="J69" s="145"/>
    </row>
    <row r="70" spans="2:10" x14ac:dyDescent="0.2">
      <c r="B70" s="218"/>
      <c r="C70" s="145"/>
      <c r="D70" s="145"/>
      <c r="E70" s="145"/>
      <c r="F70" s="145"/>
      <c r="G70" s="145"/>
      <c r="H70" s="145"/>
      <c r="I70" s="145"/>
      <c r="J70" s="145"/>
    </row>
    <row r="71" spans="2:10" x14ac:dyDescent="0.2">
      <c r="B71" s="218"/>
      <c r="C71" s="145"/>
      <c r="D71" s="145"/>
      <c r="E71" s="145"/>
      <c r="F71" s="145"/>
      <c r="G71" s="145"/>
      <c r="H71" s="145"/>
      <c r="I71" s="145"/>
      <c r="J71" s="145"/>
    </row>
    <row r="72" spans="2:10" x14ac:dyDescent="0.2">
      <c r="B72" s="222"/>
      <c r="C72" s="222"/>
      <c r="D72" s="222"/>
      <c r="E72" s="222"/>
      <c r="F72" s="222"/>
      <c r="G72" s="222"/>
      <c r="H72" s="222"/>
      <c r="I72" s="222"/>
      <c r="J72" s="218"/>
    </row>
  </sheetData>
  <mergeCells count="9">
    <mergeCell ref="J42:J43"/>
    <mergeCell ref="K42:K43"/>
    <mergeCell ref="L42:L43"/>
    <mergeCell ref="B2:I2"/>
    <mergeCell ref="B65:I65"/>
    <mergeCell ref="B17:I17"/>
    <mergeCell ref="B29:I29"/>
    <mergeCell ref="B42:I42"/>
    <mergeCell ref="B55:I5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963BC-2F5B-4004-B5CC-C855F895FD2D}">
  <sheetPr>
    <tabColor theme="6"/>
  </sheetPr>
  <dimension ref="A1:V111"/>
  <sheetViews>
    <sheetView topLeftCell="F3" workbookViewId="0">
      <selection activeCell="J4" sqref="J4:J10"/>
    </sheetView>
  </sheetViews>
  <sheetFormatPr baseColWidth="10" defaultColWidth="11" defaultRowHeight="16" x14ac:dyDescent="0.2"/>
  <cols>
    <col min="10" max="10" width="14.5" customWidth="1"/>
  </cols>
  <sheetData>
    <row r="1" spans="1:11" x14ac:dyDescent="0.2">
      <c r="A1" t="s">
        <v>468</v>
      </c>
    </row>
    <row r="2" spans="1:11" x14ac:dyDescent="0.2">
      <c r="B2" s="321" t="s">
        <v>461</v>
      </c>
      <c r="C2" s="321"/>
      <c r="D2" s="321"/>
      <c r="E2" s="321"/>
      <c r="F2" s="321"/>
      <c r="G2" s="321"/>
      <c r="H2" s="321"/>
      <c r="I2" s="321"/>
    </row>
    <row r="3" spans="1:11" ht="68" x14ac:dyDescent="0.2"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14" t="s">
        <v>527</v>
      </c>
      <c r="J3" s="39" t="s">
        <v>460</v>
      </c>
      <c r="K3" s="213"/>
    </row>
    <row r="4" spans="1:11" x14ac:dyDescent="0.2">
      <c r="B4" s="209" t="s">
        <v>454</v>
      </c>
      <c r="C4" s="94" t="s">
        <v>453</v>
      </c>
      <c r="D4" s="87">
        <f t="shared" ref="D4:D10" si="0">J4*1000000000000</f>
        <v>16000000000000</v>
      </c>
      <c r="E4" s="207">
        <v>4000000</v>
      </c>
      <c r="F4" s="206">
        <v>1.0101010000000001E-2</v>
      </c>
      <c r="G4" s="206"/>
      <c r="H4" s="205">
        <f>Y19</f>
        <v>0</v>
      </c>
      <c r="I4" s="204">
        <f t="shared" ref="I4:I10" si="1">H4*J4</f>
        <v>0</v>
      </c>
      <c r="J4" s="85">
        <v>16</v>
      </c>
      <c r="K4" s="194"/>
    </row>
    <row r="5" spans="1:11" x14ac:dyDescent="0.2">
      <c r="B5" s="209" t="s">
        <v>452</v>
      </c>
      <c r="C5" s="94" t="s">
        <v>451</v>
      </c>
      <c r="D5" s="87">
        <f t="shared" si="0"/>
        <v>35000000000000</v>
      </c>
      <c r="E5" s="207">
        <v>6000000</v>
      </c>
      <c r="F5" s="206">
        <v>1.5151515000000001E-2</v>
      </c>
      <c r="G5" s="206"/>
      <c r="H5" s="205">
        <f>AA19</f>
        <v>0</v>
      </c>
      <c r="I5" s="204">
        <f t="shared" si="1"/>
        <v>0</v>
      </c>
      <c r="J5" s="85">
        <v>35</v>
      </c>
      <c r="K5" s="194"/>
    </row>
    <row r="6" spans="1:11" x14ac:dyDescent="0.2">
      <c r="B6" s="209" t="s">
        <v>450</v>
      </c>
      <c r="C6" s="94" t="s">
        <v>449</v>
      </c>
      <c r="D6" s="87">
        <f t="shared" si="0"/>
        <v>12000000000000</v>
      </c>
      <c r="E6" s="207">
        <v>4000000</v>
      </c>
      <c r="F6" s="206">
        <v>1.0101010000000001E-2</v>
      </c>
      <c r="G6" s="206"/>
      <c r="H6" s="205">
        <f>AB19</f>
        <v>0</v>
      </c>
      <c r="I6" s="204">
        <f t="shared" si="1"/>
        <v>0</v>
      </c>
      <c r="J6" s="85">
        <v>12</v>
      </c>
      <c r="K6" s="194"/>
    </row>
    <row r="7" spans="1:11" x14ac:dyDescent="0.2">
      <c r="B7" s="209" t="s">
        <v>448</v>
      </c>
      <c r="C7" s="94" t="s">
        <v>447</v>
      </c>
      <c r="D7" s="87">
        <f t="shared" si="0"/>
        <v>4000000000000</v>
      </c>
      <c r="E7" s="207">
        <v>97000000</v>
      </c>
      <c r="F7" s="206">
        <v>0.24494949499999999</v>
      </c>
      <c r="G7" s="206"/>
      <c r="H7" s="205">
        <f>Z19</f>
        <v>0</v>
      </c>
      <c r="I7" s="204">
        <f t="shared" si="1"/>
        <v>0</v>
      </c>
      <c r="J7" s="85">
        <v>4</v>
      </c>
      <c r="K7" s="194"/>
    </row>
    <row r="8" spans="1:11" x14ac:dyDescent="0.2">
      <c r="B8" s="209" t="s">
        <v>446</v>
      </c>
      <c r="C8" s="94" t="s">
        <v>445</v>
      </c>
      <c r="D8" s="87">
        <f t="shared" si="0"/>
        <v>1001000000000000</v>
      </c>
      <c r="E8" s="207">
        <v>109000000</v>
      </c>
      <c r="F8" s="206">
        <v>0.27525252500000003</v>
      </c>
      <c r="G8" s="206"/>
      <c r="H8" s="205">
        <f>W19</f>
        <v>0</v>
      </c>
      <c r="I8" s="204">
        <f t="shared" si="1"/>
        <v>0</v>
      </c>
      <c r="J8" s="85">
        <v>1001</v>
      </c>
      <c r="K8" s="194"/>
    </row>
    <row r="9" spans="1:11" x14ac:dyDescent="0.2">
      <c r="B9" s="209" t="s">
        <v>444</v>
      </c>
      <c r="C9" s="94" t="s">
        <v>443</v>
      </c>
      <c r="D9" s="87">
        <f t="shared" si="0"/>
        <v>469000000000000</v>
      </c>
      <c r="E9" s="207">
        <v>78000000</v>
      </c>
      <c r="F9" s="206">
        <v>0.196969697</v>
      </c>
      <c r="G9" s="206"/>
      <c r="H9" s="205">
        <f>X19</f>
        <v>0</v>
      </c>
      <c r="I9" s="204">
        <f t="shared" si="1"/>
        <v>0</v>
      </c>
      <c r="J9" s="85">
        <v>469</v>
      </c>
      <c r="K9" s="194"/>
    </row>
    <row r="10" spans="1:11" x14ac:dyDescent="0.2">
      <c r="B10" s="209" t="s">
        <v>555</v>
      </c>
      <c r="C10" s="94" t="s">
        <v>441</v>
      </c>
      <c r="D10" s="87">
        <f t="shared" si="0"/>
        <v>18000000000000</v>
      </c>
      <c r="E10" s="207">
        <v>98000000</v>
      </c>
      <c r="F10" s="206">
        <v>0.24747474699999999</v>
      </c>
      <c r="G10" s="206"/>
      <c r="H10" s="205">
        <f>AC19</f>
        <v>0</v>
      </c>
      <c r="I10" s="204">
        <f t="shared" si="1"/>
        <v>0</v>
      </c>
      <c r="J10" s="85">
        <v>18</v>
      </c>
      <c r="K10" s="194"/>
    </row>
    <row r="11" spans="1:11" x14ac:dyDescent="0.2">
      <c r="B11" s="209"/>
      <c r="C11" s="208"/>
      <c r="D11" s="206"/>
      <c r="E11" s="207"/>
      <c r="F11" s="206"/>
      <c r="G11" s="206"/>
      <c r="H11" s="211"/>
      <c r="I11" s="210"/>
      <c r="J11" s="194"/>
      <c r="K11" s="194"/>
    </row>
    <row r="12" spans="1:11" x14ac:dyDescent="0.2">
      <c r="B12" s="209"/>
      <c r="C12" s="208"/>
      <c r="D12" s="206"/>
      <c r="E12" s="207">
        <v>396000000</v>
      </c>
      <c r="F12" s="206">
        <v>1</v>
      </c>
      <c r="G12" s="206"/>
      <c r="H12" s="211"/>
      <c r="I12" s="204">
        <f>SUM(I4:I11)</f>
        <v>0</v>
      </c>
      <c r="J12" s="194">
        <f>SUM(J4:J11)</f>
        <v>1555</v>
      </c>
      <c r="K12" s="194"/>
    </row>
    <row r="13" spans="1:11" ht="51" x14ac:dyDescent="0.2">
      <c r="B13" s="203"/>
      <c r="C13" s="202"/>
      <c r="D13" s="201"/>
      <c r="E13" s="201"/>
      <c r="F13" s="201"/>
      <c r="G13" s="200" t="s">
        <v>440</v>
      </c>
      <c r="H13" s="199"/>
      <c r="I13" s="198">
        <f>I12/7</f>
        <v>0</v>
      </c>
      <c r="J13" s="197">
        <f>J12/7</f>
        <v>222.14285714285714</v>
      </c>
      <c r="K13" s="196"/>
    </row>
    <row r="14" spans="1:11" x14ac:dyDescent="0.2"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7" spans="2:22" ht="19" x14ac:dyDescent="0.2">
      <c r="B17" s="331" t="s">
        <v>590</v>
      </c>
      <c r="C17" s="332"/>
      <c r="D17" s="332"/>
      <c r="E17" s="332"/>
      <c r="F17" s="332"/>
      <c r="G17" s="332"/>
      <c r="H17" s="332"/>
      <c r="I17" s="333"/>
      <c r="J17" s="184"/>
      <c r="N17" s="166" t="s">
        <v>551</v>
      </c>
      <c r="V17" s="165"/>
    </row>
    <row r="18" spans="2:22" x14ac:dyDescent="0.2">
      <c r="B18" s="96" t="s">
        <v>270</v>
      </c>
      <c r="C18" s="168" t="s">
        <v>446</v>
      </c>
      <c r="D18" s="168" t="s">
        <v>444</v>
      </c>
      <c r="E18" s="168" t="s">
        <v>454</v>
      </c>
      <c r="F18" s="168" t="s">
        <v>521</v>
      </c>
      <c r="G18" s="168" t="s">
        <v>452</v>
      </c>
      <c r="H18" s="168" t="s">
        <v>450</v>
      </c>
      <c r="I18" s="167" t="s">
        <v>520</v>
      </c>
      <c r="J18" s="246" t="s">
        <v>463</v>
      </c>
      <c r="N18" s="166" t="s">
        <v>550</v>
      </c>
      <c r="V18" s="165"/>
    </row>
    <row r="19" spans="2:22" x14ac:dyDescent="0.2">
      <c r="B19" s="184"/>
      <c r="C19" s="184"/>
      <c r="D19" s="184"/>
      <c r="E19" s="184"/>
      <c r="F19" s="184"/>
      <c r="G19" s="184"/>
      <c r="H19" s="184"/>
      <c r="I19" s="184"/>
      <c r="J19" s="184"/>
      <c r="V19" s="165"/>
    </row>
    <row r="20" spans="2:22" x14ac:dyDescent="0.2">
      <c r="B20" s="99">
        <v>2020</v>
      </c>
      <c r="C20" s="184">
        <f>C92/1000</f>
        <v>4.3125415319416796</v>
      </c>
      <c r="D20" s="184">
        <f>C91/1000</f>
        <v>0.26672182983020348</v>
      </c>
      <c r="E20" s="184">
        <f>C93/1000</f>
        <v>0.33137277194259201</v>
      </c>
      <c r="F20" s="184">
        <f>C95/1000</f>
        <v>1.1169430395248801</v>
      </c>
      <c r="G20" s="184">
        <f>C98/1000</f>
        <v>0.28130898598533099</v>
      </c>
      <c r="H20" s="184">
        <f>C96/1000</f>
        <v>0.57406180134977403</v>
      </c>
      <c r="I20" s="184">
        <f>(O23+O30+O32)/1000</f>
        <v>1.0092216146824705E-2</v>
      </c>
      <c r="J20" s="184">
        <f t="shared" ref="J20:J26" si="2">SUM(C20:I20)</f>
        <v>6.8930421767212842</v>
      </c>
      <c r="N20" s="169" t="s">
        <v>587</v>
      </c>
      <c r="V20" s="165"/>
    </row>
    <row r="21" spans="2:22" x14ac:dyDescent="0.2">
      <c r="B21" s="99">
        <v>2025</v>
      </c>
      <c r="C21" s="184">
        <f>P25/1000</f>
        <v>3.9911995540867888</v>
      </c>
      <c r="D21" s="184">
        <f>P24/1000</f>
        <v>0.5348993949523565</v>
      </c>
      <c r="E21" s="184">
        <f>P26/1000</f>
        <v>0.41628616754838088</v>
      </c>
      <c r="F21" s="184">
        <f>P28/1000</f>
        <v>1.2660422534905098</v>
      </c>
      <c r="G21" s="184">
        <f>P31/1000</f>
        <v>0.82393755888503906</v>
      </c>
      <c r="H21" s="184">
        <f>P29/1000</f>
        <v>0.89909205066805409</v>
      </c>
      <c r="I21" s="184">
        <f>(P23+P30+P32)/1000</f>
        <v>1.0684408211131648E-2</v>
      </c>
      <c r="J21" s="184">
        <f t="shared" si="2"/>
        <v>7.9421413878422609</v>
      </c>
      <c r="N21" s="166" t="s">
        <v>544</v>
      </c>
      <c r="V21" s="165"/>
    </row>
    <row r="22" spans="2:22" ht="22" customHeight="1" thickBot="1" x14ac:dyDescent="0.25">
      <c r="B22" s="99">
        <v>2030</v>
      </c>
      <c r="C22" s="184">
        <f>E92/1000</f>
        <v>3.5557350816071698</v>
      </c>
      <c r="D22" s="184">
        <f>E91/1000</f>
        <v>0.69266138408735678</v>
      </c>
      <c r="E22" s="184">
        <f>E93/1000</f>
        <v>0.53846321031671096</v>
      </c>
      <c r="F22" s="184">
        <f>E95/1000</f>
        <v>1.3341493658352099</v>
      </c>
      <c r="G22" s="184">
        <f>E98/1000</f>
        <v>1.3043886652683301</v>
      </c>
      <c r="H22" s="184">
        <f>E96/1000</f>
        <v>1.00067558147103</v>
      </c>
      <c r="I22" s="184">
        <f>(Q23+Q30+Q32)/1000</f>
        <v>2.3209430804985502E-2</v>
      </c>
      <c r="J22" s="184">
        <f t="shared" si="2"/>
        <v>8.4492827193907942</v>
      </c>
      <c r="N22" s="160" t="s">
        <v>543</v>
      </c>
      <c r="O22" s="160">
        <v>2020</v>
      </c>
      <c r="P22" s="160">
        <v>2025</v>
      </c>
      <c r="Q22" s="160">
        <v>2030</v>
      </c>
      <c r="R22" s="160">
        <v>2035</v>
      </c>
      <c r="S22" s="160">
        <v>2040</v>
      </c>
      <c r="T22" s="160">
        <v>2045</v>
      </c>
      <c r="U22" s="160">
        <v>2050</v>
      </c>
      <c r="V22" s="159" t="s">
        <v>542</v>
      </c>
    </row>
    <row r="23" spans="2:22" ht="17" thickTop="1" x14ac:dyDescent="0.2">
      <c r="B23" s="99">
        <v>2035</v>
      </c>
      <c r="C23" s="184">
        <f>R25/1000</f>
        <v>3.5557350816071698</v>
      </c>
      <c r="D23" s="184">
        <f>R24/1000</f>
        <v>0.71578317084885401</v>
      </c>
      <c r="E23" s="184">
        <f>R26/1000</f>
        <v>0.67355270332592099</v>
      </c>
      <c r="F23" s="184">
        <f>R28/1000</f>
        <v>1.3812033504702099</v>
      </c>
      <c r="G23" s="184">
        <f>R31/1000</f>
        <v>1.77369016074887</v>
      </c>
      <c r="H23" s="184">
        <f>R29/1000</f>
        <v>1.00067558147103</v>
      </c>
      <c r="I23" s="184">
        <f>(R23+R30+R32)/1000</f>
        <v>3.4415881543635438E-2</v>
      </c>
      <c r="J23" s="184">
        <f t="shared" si="2"/>
        <v>9.1350559300156906</v>
      </c>
      <c r="N23" s="150" t="s">
        <v>541</v>
      </c>
      <c r="O23" s="150">
        <v>9.8954627876970207</v>
      </c>
      <c r="P23" s="150">
        <v>9.8954334821414704</v>
      </c>
      <c r="Q23" s="150">
        <v>2.0075100221626001</v>
      </c>
      <c r="R23" s="150">
        <v>9.7807291666935595E-2</v>
      </c>
      <c r="S23" s="150">
        <v>9.7807291666666907E-2</v>
      </c>
      <c r="T23" s="150">
        <v>9.7807291665736207E-2</v>
      </c>
      <c r="U23" s="150">
        <v>9.7807291667068905E-2</v>
      </c>
      <c r="V23" s="149">
        <v>-14.26374604470422</v>
      </c>
    </row>
    <row r="24" spans="2:22" x14ac:dyDescent="0.2">
      <c r="B24" s="99">
        <v>2040</v>
      </c>
      <c r="C24" s="184">
        <f>G92/1000</f>
        <v>3.5557350816071698</v>
      </c>
      <c r="D24" s="184">
        <f>G91/1000</f>
        <v>0.743284439900467</v>
      </c>
      <c r="E24" s="184">
        <f>G93/1000</f>
        <v>0.79460692433417501</v>
      </c>
      <c r="F24" s="184">
        <f>G95/1000</f>
        <v>1.44769474429989</v>
      </c>
      <c r="G24" s="184">
        <f>G98/1000</f>
        <v>2.3682225665742198</v>
      </c>
      <c r="H24" s="184">
        <f>G96/1000</f>
        <v>1.00067558147103</v>
      </c>
      <c r="I24" s="184">
        <f>(S23+S30+S32)/1000</f>
        <v>3.6986008854092069E-2</v>
      </c>
      <c r="J24" s="184">
        <f t="shared" si="2"/>
        <v>9.9472053470410433</v>
      </c>
      <c r="N24" s="150" t="s">
        <v>540</v>
      </c>
      <c r="O24" s="150">
        <v>266.72182983020349</v>
      </c>
      <c r="P24" s="150">
        <v>534.89939495235649</v>
      </c>
      <c r="Q24" s="150">
        <v>692.66138408735674</v>
      </c>
      <c r="R24" s="150">
        <v>715.78317084885396</v>
      </c>
      <c r="S24" s="150">
        <v>743.28443990046696</v>
      </c>
      <c r="T24" s="150">
        <v>782.10577011902296</v>
      </c>
      <c r="U24" s="150">
        <v>803.08322447087107</v>
      </c>
      <c r="V24" s="149">
        <v>3.7425056382129451</v>
      </c>
    </row>
    <row r="25" spans="2:22" x14ac:dyDescent="0.2">
      <c r="B25" s="99">
        <v>2045</v>
      </c>
      <c r="C25" s="184">
        <f>T25/1000</f>
        <v>3.5557350816071698</v>
      </c>
      <c r="D25" s="184">
        <f>T24/1000</f>
        <v>0.78210577011902294</v>
      </c>
      <c r="E25" s="184">
        <f>T26/1000</f>
        <v>0.90513469134170998</v>
      </c>
      <c r="F25" s="184">
        <f>T28/1000</f>
        <v>1.44769474429989</v>
      </c>
      <c r="G25" s="184">
        <f>T31/1000</f>
        <v>3.0247910672090703</v>
      </c>
      <c r="H25" s="184">
        <f>T29/1000</f>
        <v>1.00067558147103</v>
      </c>
      <c r="I25" s="184">
        <f>(T23+T30+T32)/1000</f>
        <v>3.9763260341753842E-2</v>
      </c>
      <c r="J25" s="184">
        <f t="shared" si="2"/>
        <v>10.755900196389648</v>
      </c>
      <c r="N25" s="150" t="s">
        <v>446</v>
      </c>
      <c r="O25" s="150">
        <v>4312.5415319416798</v>
      </c>
      <c r="P25" s="150">
        <v>3991.1995540867888</v>
      </c>
      <c r="Q25" s="150">
        <v>3555.7350816071698</v>
      </c>
      <c r="R25" s="150">
        <v>3555.7350816071698</v>
      </c>
      <c r="S25" s="150">
        <v>3555.7350816071698</v>
      </c>
      <c r="T25" s="150">
        <v>3555.7350816071698</v>
      </c>
      <c r="U25" s="150">
        <v>3555.7350816071698</v>
      </c>
      <c r="V25" s="149">
        <v>-0.6411544337100894</v>
      </c>
    </row>
    <row r="26" spans="2:22" x14ac:dyDescent="0.2">
      <c r="B26" s="98">
        <v>2050</v>
      </c>
      <c r="C26" s="184">
        <f>I92/1000</f>
        <v>3.5557350816071698</v>
      </c>
      <c r="D26" s="184">
        <f>I91/1000</f>
        <v>0.8030832244708711</v>
      </c>
      <c r="E26" s="184">
        <f>I93/1000</f>
        <v>1.00162718634829</v>
      </c>
      <c r="F26" s="184">
        <f>I95/1000</f>
        <v>1.44769474429988</v>
      </c>
      <c r="G26" s="184">
        <f>I98/1000</f>
        <v>3.3793643853895201</v>
      </c>
      <c r="H26" s="184">
        <f>I96/1000</f>
        <v>1.00067558147103</v>
      </c>
      <c r="I26" s="184">
        <f>(U23+U30+U32)/1000</f>
        <v>4.136791016360767E-2</v>
      </c>
      <c r="J26" s="184">
        <f t="shared" si="2"/>
        <v>11.229548113750369</v>
      </c>
      <c r="N26" s="150" t="s">
        <v>454</v>
      </c>
      <c r="O26" s="150">
        <v>331.37277194259201</v>
      </c>
      <c r="P26" s="150">
        <v>416.28616754838089</v>
      </c>
      <c r="Q26" s="150">
        <v>538.46321031671096</v>
      </c>
      <c r="R26" s="150">
        <v>673.55270332592102</v>
      </c>
      <c r="S26" s="150">
        <v>794.60692433417501</v>
      </c>
      <c r="T26" s="150">
        <v>905.13469134170998</v>
      </c>
      <c r="U26" s="150">
        <v>1001.62718634829</v>
      </c>
      <c r="V26" s="149">
        <v>3.7559416155080521</v>
      </c>
    </row>
    <row r="27" spans="2:22" x14ac:dyDescent="0.2">
      <c r="B27" s="245"/>
      <c r="C27" s="245"/>
      <c r="D27" s="245"/>
      <c r="E27" s="245"/>
      <c r="F27" s="245"/>
      <c r="G27" s="245"/>
      <c r="H27" s="245"/>
      <c r="I27" s="245"/>
      <c r="J27" s="245"/>
      <c r="N27" s="150" t="s">
        <v>539</v>
      </c>
      <c r="O27" s="150">
        <v>1972.5105802191131</v>
      </c>
      <c r="P27" s="150">
        <v>2989.8608377725932</v>
      </c>
      <c r="Q27" s="150">
        <v>3660.4155333573931</v>
      </c>
      <c r="R27" s="150">
        <v>4189.8871669420787</v>
      </c>
      <c r="S27" s="150">
        <v>4853.481093907566</v>
      </c>
      <c r="T27" s="150">
        <v>5512.8268460300787</v>
      </c>
      <c r="U27" s="150">
        <v>5869.0048140323706</v>
      </c>
      <c r="V27" s="149">
        <v>3.7014520411245981</v>
      </c>
    </row>
    <row r="28" spans="2:22" x14ac:dyDescent="0.2">
      <c r="B28" s="109"/>
      <c r="N28" s="150" t="s">
        <v>538</v>
      </c>
      <c r="O28" s="150">
        <v>1116.9430395248801</v>
      </c>
      <c r="P28" s="150">
        <v>1266.0422534905099</v>
      </c>
      <c r="Q28" s="150">
        <v>1334.1493658352099</v>
      </c>
      <c r="R28" s="150">
        <v>1381.2033504702099</v>
      </c>
      <c r="S28" s="150">
        <v>1447.6947442998901</v>
      </c>
      <c r="T28" s="150">
        <v>1447.6947442998901</v>
      </c>
      <c r="U28" s="150">
        <v>1447.6947442998801</v>
      </c>
      <c r="V28" s="149">
        <v>0.86833815624478561</v>
      </c>
    </row>
    <row r="29" spans="2:22" ht="19" x14ac:dyDescent="0.2">
      <c r="B29" s="339" t="s">
        <v>589</v>
      </c>
      <c r="C29" s="340"/>
      <c r="D29" s="340"/>
      <c r="E29" s="340"/>
      <c r="F29" s="340"/>
      <c r="G29" s="340"/>
      <c r="H29" s="340"/>
      <c r="I29" s="341"/>
      <c r="N29" s="150" t="s">
        <v>537</v>
      </c>
      <c r="O29" s="150">
        <v>574.06180134977399</v>
      </c>
      <c r="P29" s="150">
        <v>899.09205066805407</v>
      </c>
      <c r="Q29" s="150">
        <v>1000.67558147103</v>
      </c>
      <c r="R29" s="150">
        <v>1000.67558147103</v>
      </c>
      <c r="S29" s="150">
        <v>1000.67558147103</v>
      </c>
      <c r="T29" s="150">
        <v>1000.67558147103</v>
      </c>
      <c r="U29" s="150">
        <v>1000.67558147103</v>
      </c>
      <c r="V29" s="149">
        <v>1.8695736258874001</v>
      </c>
    </row>
    <row r="30" spans="2:22" x14ac:dyDescent="0.2">
      <c r="B30" s="244" t="s">
        <v>270</v>
      </c>
      <c r="C30" s="243" t="s">
        <v>446</v>
      </c>
      <c r="D30" s="243" t="s">
        <v>444</v>
      </c>
      <c r="E30" s="243" t="s">
        <v>454</v>
      </c>
      <c r="F30" s="243" t="s">
        <v>521</v>
      </c>
      <c r="G30" s="243" t="s">
        <v>452</v>
      </c>
      <c r="H30" s="243" t="s">
        <v>450</v>
      </c>
      <c r="I30" s="242" t="s">
        <v>520</v>
      </c>
      <c r="J30" s="28"/>
      <c r="N30" s="150" t="s">
        <v>536</v>
      </c>
      <c r="O30" s="150">
        <v>0.19675335912768299</v>
      </c>
      <c r="P30" s="150">
        <v>0.19675335912768299</v>
      </c>
      <c r="Q30" s="150">
        <v>0.19675335912768299</v>
      </c>
      <c r="R30" s="150">
        <v>0.19675335912768299</v>
      </c>
      <c r="S30" s="150">
        <v>0.19675335912768299</v>
      </c>
      <c r="T30" s="150">
        <v>0.19675335912768299</v>
      </c>
      <c r="U30" s="150">
        <v>0.19675335912768299</v>
      </c>
      <c r="V30" s="149">
        <v>0</v>
      </c>
    </row>
    <row r="31" spans="2:22" x14ac:dyDescent="0.2">
      <c r="B31" s="241"/>
      <c r="C31" s="171"/>
      <c r="D31" s="171"/>
      <c r="E31" s="171"/>
      <c r="F31" s="171"/>
      <c r="G31" s="171"/>
      <c r="H31" s="171"/>
      <c r="I31" s="240"/>
      <c r="J31" s="21"/>
      <c r="N31" s="150" t="s">
        <v>535</v>
      </c>
      <c r="O31" s="150">
        <v>281.30898598533099</v>
      </c>
      <c r="P31" s="150">
        <v>823.93755888503904</v>
      </c>
      <c r="Q31" s="150">
        <v>1304.38866526833</v>
      </c>
      <c r="R31" s="150">
        <v>1773.6901607488701</v>
      </c>
      <c r="S31" s="150">
        <v>2368.2225665742199</v>
      </c>
      <c r="T31" s="150">
        <v>3024.7910672090702</v>
      </c>
      <c r="U31" s="150">
        <v>3379.3643853895201</v>
      </c>
      <c r="V31" s="149">
        <v>8.6396557022345277</v>
      </c>
    </row>
    <row r="32" spans="2:22" x14ac:dyDescent="0.2">
      <c r="B32" s="99">
        <v>2020</v>
      </c>
      <c r="C32" s="171">
        <f t="shared" ref="C32:C38" si="3">C20/J20</f>
        <v>0.62563689897411379</v>
      </c>
      <c r="D32" s="171">
        <f t="shared" ref="D32:D38" si="4">D20/J20</f>
        <v>3.8694356278706432E-2</v>
      </c>
      <c r="E32" s="171">
        <f t="shared" ref="E32:E38" si="5">E20/J20</f>
        <v>4.8073515792733973E-2</v>
      </c>
      <c r="F32" s="171">
        <f t="shared" ref="F32:F38" si="6">F20/J20</f>
        <v>0.16203919994816579</v>
      </c>
      <c r="G32" s="171">
        <f t="shared" ref="G32:G38" si="7">G20/J20</f>
        <v>4.0810570829719957E-2</v>
      </c>
      <c r="H32" s="171">
        <f t="shared" ref="H32:H38" si="8">H20/J20</f>
        <v>8.3281341769307127E-2</v>
      </c>
      <c r="I32" s="240">
        <f t="shared" ref="I32:I38" si="9">I20/J20</f>
        <v>1.4641164072530203E-3</v>
      </c>
      <c r="N32" s="150" t="s">
        <v>534</v>
      </c>
      <c r="O32" s="150">
        <v>0</v>
      </c>
      <c r="P32" s="150">
        <v>0.59222136986249529</v>
      </c>
      <c r="Q32" s="150">
        <v>21.005167423695219</v>
      </c>
      <c r="R32" s="150">
        <v>34.121320892840821</v>
      </c>
      <c r="S32" s="150">
        <v>36.691448203297718</v>
      </c>
      <c r="T32" s="150">
        <v>39.46869969096042</v>
      </c>
      <c r="U32" s="150">
        <v>41.073349512812918</v>
      </c>
      <c r="V32" s="149" t="s">
        <v>16</v>
      </c>
    </row>
    <row r="33" spans="2:22" ht="17" thickBot="1" x14ac:dyDescent="0.25">
      <c r="B33" s="99">
        <v>2025</v>
      </c>
      <c r="C33" s="171">
        <f t="shared" si="3"/>
        <v>0.50253443739952441</v>
      </c>
      <c r="D33" s="171">
        <f t="shared" si="4"/>
        <v>6.7349518074706446E-2</v>
      </c>
      <c r="E33" s="171">
        <f t="shared" si="5"/>
        <v>5.241485226964443E-2</v>
      </c>
      <c r="F33" s="171">
        <f t="shared" si="6"/>
        <v>0.15940817364804821</v>
      </c>
      <c r="G33" s="171">
        <f t="shared" si="7"/>
        <v>0.10374249445449477</v>
      </c>
      <c r="H33" s="171">
        <f t="shared" si="8"/>
        <v>0.11320524361910428</v>
      </c>
      <c r="I33" s="240">
        <f t="shared" si="9"/>
        <v>1.3452805344774167E-3</v>
      </c>
      <c r="N33" s="150" t="s">
        <v>533</v>
      </c>
      <c r="O33" s="150">
        <v>6893.0421767212856</v>
      </c>
      <c r="P33" s="150">
        <v>7942.1413878422609</v>
      </c>
      <c r="Q33" s="150">
        <v>8449.2827193907924</v>
      </c>
      <c r="R33" s="150">
        <v>9135.0559300156892</v>
      </c>
      <c r="S33" s="150">
        <v>9947.2053470410447</v>
      </c>
      <c r="T33" s="150">
        <v>10755.90019638965</v>
      </c>
      <c r="U33" s="150">
        <v>11229.54811375037</v>
      </c>
      <c r="V33" s="149">
        <v>1.640090907402225</v>
      </c>
    </row>
    <row r="34" spans="2:22" ht="17" thickBot="1" x14ac:dyDescent="0.25">
      <c r="B34" s="99">
        <v>2030</v>
      </c>
      <c r="C34" s="171">
        <f t="shared" si="3"/>
        <v>0.42083277358525217</v>
      </c>
      <c r="D34" s="171">
        <f t="shared" si="4"/>
        <v>8.1978720217010165E-2</v>
      </c>
      <c r="E34" s="171">
        <f t="shared" si="5"/>
        <v>6.372886648483872E-2</v>
      </c>
      <c r="F34" s="171">
        <f t="shared" si="6"/>
        <v>0.15790090237759308</v>
      </c>
      <c r="G34" s="171">
        <f t="shared" si="7"/>
        <v>0.15437862698981605</v>
      </c>
      <c r="H34" s="171">
        <f t="shared" si="8"/>
        <v>0.11843319897137732</v>
      </c>
      <c r="I34" s="240">
        <f t="shared" si="9"/>
        <v>2.7469113741123504E-3</v>
      </c>
      <c r="N34" s="337" t="s">
        <v>532</v>
      </c>
      <c r="O34" s="337"/>
      <c r="P34" s="337"/>
      <c r="Q34" s="337"/>
      <c r="R34" s="337"/>
      <c r="S34" s="337"/>
      <c r="T34" s="337"/>
      <c r="U34" s="337"/>
      <c r="V34" s="337"/>
    </row>
    <row r="35" spans="2:22" ht="17" thickBot="1" x14ac:dyDescent="0.25">
      <c r="B35" s="99">
        <v>2035</v>
      </c>
      <c r="C35" s="171">
        <f t="shared" si="3"/>
        <v>0.38924064711238854</v>
      </c>
      <c r="D35" s="171">
        <f t="shared" si="4"/>
        <v>7.8355641862788747E-2</v>
      </c>
      <c r="E35" s="171">
        <f t="shared" si="5"/>
        <v>7.3732739951025569E-2</v>
      </c>
      <c r="F35" s="171">
        <f t="shared" si="6"/>
        <v>0.15119812741724917</v>
      </c>
      <c r="G35" s="171">
        <f t="shared" si="7"/>
        <v>0.19416303242555225</v>
      </c>
      <c r="H35" s="171">
        <f t="shared" si="8"/>
        <v>0.10954235958020141</v>
      </c>
      <c r="I35" s="240">
        <f t="shared" si="9"/>
        <v>3.7674516507942525E-3</v>
      </c>
      <c r="N35" s="337"/>
      <c r="O35" s="337"/>
      <c r="P35" s="337"/>
      <c r="Q35" s="337"/>
      <c r="R35" s="337"/>
      <c r="S35" s="337"/>
      <c r="T35" s="337"/>
      <c r="U35" s="337"/>
      <c r="V35" s="337"/>
    </row>
    <row r="36" spans="2:22" ht="17" thickBot="1" x14ac:dyDescent="0.25">
      <c r="B36" s="99">
        <v>2040</v>
      </c>
      <c r="C36" s="171">
        <f t="shared" si="3"/>
        <v>0.35746070957154619</v>
      </c>
      <c r="D36" s="171">
        <f t="shared" si="4"/>
        <v>7.4722941164733159E-2</v>
      </c>
      <c r="E36" s="171">
        <f t="shared" si="5"/>
        <v>7.988242894478334E-2</v>
      </c>
      <c r="F36" s="171">
        <f t="shared" si="6"/>
        <v>0.14553783638643089</v>
      </c>
      <c r="G36" s="171">
        <f t="shared" si="7"/>
        <v>0.23807918746532017</v>
      </c>
      <c r="H36" s="171">
        <f t="shared" si="8"/>
        <v>0.1005986653094175</v>
      </c>
      <c r="I36" s="240">
        <f t="shared" si="9"/>
        <v>3.7182311577687649E-3</v>
      </c>
      <c r="L36" s="109"/>
      <c r="N36" s="337"/>
      <c r="O36" s="337"/>
      <c r="P36" s="337"/>
      <c r="Q36" s="337"/>
      <c r="R36" s="337"/>
      <c r="S36" s="337"/>
      <c r="T36" s="337"/>
      <c r="U36" s="337"/>
      <c r="V36" s="337"/>
    </row>
    <row r="37" spans="2:22" ht="17" thickBot="1" x14ac:dyDescent="0.25">
      <c r="B37" s="99">
        <v>2045</v>
      </c>
      <c r="C37" s="171">
        <f t="shared" si="3"/>
        <v>0.33058461092830671</v>
      </c>
      <c r="D37" s="171">
        <f t="shared" si="4"/>
        <v>7.2714115586675537E-2</v>
      </c>
      <c r="E37" s="171">
        <f t="shared" si="5"/>
        <v>8.4152388439373005E-2</v>
      </c>
      <c r="F37" s="171">
        <f t="shared" si="6"/>
        <v>0.13459540511409976</v>
      </c>
      <c r="G37" s="171">
        <f t="shared" si="7"/>
        <v>0.2812215632332084</v>
      </c>
      <c r="H37" s="171">
        <f t="shared" si="8"/>
        <v>9.3035037811797394E-2</v>
      </c>
      <c r="I37" s="240">
        <f t="shared" si="9"/>
        <v>3.6968788865390251E-3</v>
      </c>
      <c r="N37" s="337"/>
      <c r="O37" s="337"/>
      <c r="P37" s="337"/>
      <c r="Q37" s="337"/>
      <c r="R37" s="337"/>
      <c r="S37" s="337"/>
      <c r="T37" s="337"/>
      <c r="U37" s="337"/>
      <c r="V37" s="337"/>
    </row>
    <row r="38" spans="2:22" ht="17" thickBot="1" x14ac:dyDescent="0.25">
      <c r="B38" s="98">
        <v>2050</v>
      </c>
      <c r="C38" s="171">
        <f t="shared" si="3"/>
        <v>0.31664097660824303</v>
      </c>
      <c r="D38" s="171">
        <f t="shared" si="4"/>
        <v>7.1515186215508619E-2</v>
      </c>
      <c r="E38" s="171">
        <f t="shared" si="5"/>
        <v>8.91956805565325E-2</v>
      </c>
      <c r="F38" s="171">
        <f t="shared" si="6"/>
        <v>0.12891834378688891</v>
      </c>
      <c r="G38" s="171">
        <f t="shared" si="7"/>
        <v>0.30093502883268763</v>
      </c>
      <c r="H38" s="171">
        <f t="shared" si="8"/>
        <v>8.911093940153493E-2</v>
      </c>
      <c r="I38" s="240">
        <f t="shared" si="9"/>
        <v>3.6838445986044129E-3</v>
      </c>
      <c r="N38" s="337"/>
      <c r="O38" s="337"/>
      <c r="P38" s="337"/>
      <c r="Q38" s="337"/>
      <c r="R38" s="337"/>
      <c r="S38" s="337"/>
      <c r="T38" s="337"/>
      <c r="U38" s="337"/>
      <c r="V38" s="337"/>
    </row>
    <row r="39" spans="2:22" ht="17" thickBot="1" x14ac:dyDescent="0.25">
      <c r="B39" s="239"/>
      <c r="C39" s="238"/>
      <c r="D39" s="238"/>
      <c r="E39" s="238"/>
      <c r="F39" s="238"/>
      <c r="G39" s="238"/>
      <c r="H39" s="238"/>
      <c r="I39" s="237"/>
      <c r="N39" s="337"/>
      <c r="O39" s="337"/>
      <c r="P39" s="337"/>
      <c r="Q39" s="337"/>
      <c r="R39" s="337"/>
      <c r="S39" s="337"/>
      <c r="T39" s="337"/>
      <c r="U39" s="337"/>
      <c r="V39" s="337"/>
    </row>
    <row r="40" spans="2:22" ht="17" thickBot="1" x14ac:dyDescent="0.25">
      <c r="N40" s="337"/>
      <c r="O40" s="337"/>
      <c r="P40" s="337"/>
      <c r="Q40" s="337"/>
      <c r="R40" s="337"/>
      <c r="S40" s="337"/>
      <c r="T40" s="337"/>
      <c r="U40" s="337"/>
      <c r="V40" s="337"/>
    </row>
    <row r="41" spans="2:22" ht="17" thickBot="1" x14ac:dyDescent="0.25">
      <c r="N41" s="337"/>
      <c r="O41" s="337"/>
      <c r="P41" s="337"/>
      <c r="Q41" s="337"/>
      <c r="R41" s="337"/>
      <c r="S41" s="337"/>
      <c r="T41" s="337"/>
      <c r="U41" s="337"/>
      <c r="V41" s="337"/>
    </row>
    <row r="42" spans="2:22" ht="20" thickBot="1" x14ac:dyDescent="0.25">
      <c r="B42" s="331" t="s">
        <v>588</v>
      </c>
      <c r="C42" s="332"/>
      <c r="D42" s="332"/>
      <c r="E42" s="332"/>
      <c r="F42" s="332"/>
      <c r="G42" s="332"/>
      <c r="H42" s="332"/>
      <c r="I42" s="333"/>
      <c r="J42" s="334" t="s">
        <v>548</v>
      </c>
      <c r="K42" s="335" t="s">
        <v>547</v>
      </c>
      <c r="L42" s="336" t="s">
        <v>546</v>
      </c>
      <c r="N42" s="337"/>
      <c r="O42" s="337"/>
      <c r="P42" s="337"/>
      <c r="Q42" s="337"/>
      <c r="R42" s="337"/>
      <c r="S42" s="337"/>
      <c r="T42" s="337"/>
      <c r="U42" s="337"/>
      <c r="V42" s="337"/>
    </row>
    <row r="43" spans="2:22" ht="17" thickBot="1" x14ac:dyDescent="0.25">
      <c r="B43" s="96" t="s">
        <v>270</v>
      </c>
      <c r="C43" s="168" t="s">
        <v>446</v>
      </c>
      <c r="D43" s="168" t="s">
        <v>444</v>
      </c>
      <c r="E43" s="168" t="s">
        <v>454</v>
      </c>
      <c r="F43" s="168" t="s">
        <v>521</v>
      </c>
      <c r="G43" s="168" t="s">
        <v>452</v>
      </c>
      <c r="H43" s="168" t="s">
        <v>450</v>
      </c>
      <c r="I43" s="167" t="s">
        <v>520</v>
      </c>
      <c r="J43" s="334"/>
      <c r="K43" s="335"/>
      <c r="L43" s="336"/>
      <c r="N43" s="337"/>
      <c r="O43" s="337"/>
      <c r="P43" s="337"/>
      <c r="Q43" s="337"/>
      <c r="R43" s="337"/>
      <c r="S43" s="337"/>
      <c r="T43" s="337"/>
      <c r="U43" s="337"/>
      <c r="V43" s="337"/>
    </row>
    <row r="44" spans="2:22" x14ac:dyDescent="0.2">
      <c r="B44" s="101"/>
      <c r="C44" s="158"/>
      <c r="D44" s="158"/>
      <c r="E44" s="158"/>
      <c r="F44" s="158"/>
      <c r="G44" s="158"/>
      <c r="H44" s="158"/>
      <c r="I44" s="220"/>
      <c r="J44" s="155"/>
      <c r="K44" s="151"/>
      <c r="L44" s="151"/>
      <c r="N44" s="337"/>
      <c r="O44" s="337"/>
      <c r="P44" s="337"/>
      <c r="Q44" s="337"/>
      <c r="R44" s="337"/>
      <c r="S44" s="337"/>
      <c r="T44" s="337"/>
      <c r="U44" s="337"/>
      <c r="V44" s="337"/>
    </row>
    <row r="45" spans="2:22" x14ac:dyDescent="0.2">
      <c r="B45" s="99">
        <v>2020</v>
      </c>
      <c r="C45" s="158">
        <f t="shared" ref="C45:C51" si="10">C32*$J$8</f>
        <v>626.26253587308793</v>
      </c>
      <c r="D45" s="158">
        <f t="shared" ref="D45:D51" si="11">D32*$J$9</f>
        <v>18.147653094713316</v>
      </c>
      <c r="E45" s="158">
        <f t="shared" ref="E45:E51" si="12">E32*$J$4</f>
        <v>0.76917625268374357</v>
      </c>
      <c r="F45" s="158">
        <f t="shared" ref="F45:F51" si="13">F32*$J$7</f>
        <v>0.64815679979266316</v>
      </c>
      <c r="G45" s="158">
        <f t="shared" ref="G45:G51" si="14">G32*$J$5</f>
        <v>1.4283699790401985</v>
      </c>
      <c r="H45" s="158">
        <f t="shared" ref="H45:H51" si="15">H32*$J$6</f>
        <v>0.99937610123168552</v>
      </c>
      <c r="I45" s="219">
        <f t="shared" ref="I45:I51" si="16">I32*$J$10</f>
        <v>2.6354095330554366E-2</v>
      </c>
      <c r="J45" s="155">
        <f t="shared" ref="J45:J51" si="17">SUM(C45:I45)</f>
        <v>648.28162219588012</v>
      </c>
      <c r="K45" s="155">
        <f>$J$8-J45</f>
        <v>352.71837780411988</v>
      </c>
      <c r="L45" s="155">
        <f t="shared" ref="L45:L51" si="18">K45/1011</f>
        <v>0.34888069021179019</v>
      </c>
    </row>
    <row r="46" spans="2:22" x14ac:dyDescent="0.2">
      <c r="B46" s="99">
        <v>2025</v>
      </c>
      <c r="C46" s="158">
        <f t="shared" si="10"/>
        <v>503.03697183692395</v>
      </c>
      <c r="D46" s="158">
        <f t="shared" si="11"/>
        <v>31.586923977037323</v>
      </c>
      <c r="E46" s="158">
        <f t="shared" si="12"/>
        <v>0.83863763631431087</v>
      </c>
      <c r="F46" s="158">
        <f t="shared" si="13"/>
        <v>0.63763269459219285</v>
      </c>
      <c r="G46" s="158">
        <f t="shared" si="14"/>
        <v>3.630987305907317</v>
      </c>
      <c r="H46" s="158">
        <f t="shared" si="15"/>
        <v>1.3584629234292513</v>
      </c>
      <c r="I46" s="219">
        <f t="shared" si="16"/>
        <v>2.4215049620593499E-2</v>
      </c>
      <c r="J46" s="155">
        <f t="shared" si="17"/>
        <v>541.11383142382488</v>
      </c>
      <c r="K46" s="155">
        <f t="shared" ref="K46:K51" si="19">$J$8-J46</f>
        <v>459.88616857617512</v>
      </c>
      <c r="L46" s="155">
        <f t="shared" si="18"/>
        <v>0.45488246149967865</v>
      </c>
    </row>
    <row r="47" spans="2:22" x14ac:dyDescent="0.2">
      <c r="B47" s="99">
        <v>2030</v>
      </c>
      <c r="C47" s="158">
        <f t="shared" si="10"/>
        <v>421.25360635883743</v>
      </c>
      <c r="D47" s="158">
        <f t="shared" si="11"/>
        <v>38.448019781777766</v>
      </c>
      <c r="E47" s="158">
        <f t="shared" si="12"/>
        <v>1.0196618637574195</v>
      </c>
      <c r="F47" s="158">
        <f t="shared" si="13"/>
        <v>0.63160360951037231</v>
      </c>
      <c r="G47" s="158">
        <f t="shared" si="14"/>
        <v>5.4032519446435616</v>
      </c>
      <c r="H47" s="158">
        <f t="shared" si="15"/>
        <v>1.4211983876565277</v>
      </c>
      <c r="I47" s="219">
        <f t="shared" si="16"/>
        <v>4.9444404734022306E-2</v>
      </c>
      <c r="J47" s="155">
        <f t="shared" si="17"/>
        <v>468.22678635091705</v>
      </c>
      <c r="K47" s="155">
        <f t="shared" si="19"/>
        <v>532.77321364908289</v>
      </c>
      <c r="L47" s="155">
        <f t="shared" si="18"/>
        <v>0.52697647245210966</v>
      </c>
    </row>
    <row r="48" spans="2:22" x14ac:dyDescent="0.2">
      <c r="B48" s="99">
        <v>2035</v>
      </c>
      <c r="C48" s="158">
        <f t="shared" si="10"/>
        <v>389.62988775950095</v>
      </c>
      <c r="D48" s="158">
        <f t="shared" si="11"/>
        <v>36.74879603364792</v>
      </c>
      <c r="E48" s="158">
        <f t="shared" si="12"/>
        <v>1.1797238392164091</v>
      </c>
      <c r="F48" s="158">
        <f t="shared" si="13"/>
        <v>0.60479250966899667</v>
      </c>
      <c r="G48" s="158">
        <f t="shared" si="14"/>
        <v>6.7957061348943286</v>
      </c>
      <c r="H48" s="158">
        <f t="shared" si="15"/>
        <v>1.3145083149624168</v>
      </c>
      <c r="I48" s="219">
        <f t="shared" si="16"/>
        <v>6.7814129714296539E-2</v>
      </c>
      <c r="J48" s="155">
        <f t="shared" si="17"/>
        <v>436.34122872160532</v>
      </c>
      <c r="K48" s="155">
        <f t="shared" si="19"/>
        <v>564.65877127839462</v>
      </c>
      <c r="L48" s="155">
        <f t="shared" si="18"/>
        <v>0.55851510512205205</v>
      </c>
    </row>
    <row r="49" spans="2:12" x14ac:dyDescent="0.2">
      <c r="B49" s="99">
        <v>2040</v>
      </c>
      <c r="C49" s="158">
        <f t="shared" si="10"/>
        <v>357.81817028111772</v>
      </c>
      <c r="D49" s="158">
        <f t="shared" si="11"/>
        <v>35.045059406259853</v>
      </c>
      <c r="E49" s="158">
        <f t="shared" si="12"/>
        <v>1.2781188631165334</v>
      </c>
      <c r="F49" s="158">
        <f t="shared" si="13"/>
        <v>0.58215134554572356</v>
      </c>
      <c r="G49" s="158">
        <f t="shared" si="14"/>
        <v>8.3327715612862061</v>
      </c>
      <c r="H49" s="158">
        <f t="shared" si="15"/>
        <v>1.2071839837130098</v>
      </c>
      <c r="I49" s="219">
        <f t="shared" si="16"/>
        <v>6.6928160839837769E-2</v>
      </c>
      <c r="J49" s="155">
        <f t="shared" si="17"/>
        <v>404.33038360187891</v>
      </c>
      <c r="K49" s="155">
        <f t="shared" si="19"/>
        <v>596.66961639812109</v>
      </c>
      <c r="L49" s="155">
        <f t="shared" si="18"/>
        <v>0.59017766211485767</v>
      </c>
    </row>
    <row r="50" spans="2:12" x14ac:dyDescent="0.2">
      <c r="B50" s="99">
        <v>2045</v>
      </c>
      <c r="C50" s="158">
        <f t="shared" si="10"/>
        <v>330.91519553923501</v>
      </c>
      <c r="D50" s="158">
        <f t="shared" si="11"/>
        <v>34.102920210150828</v>
      </c>
      <c r="E50" s="158">
        <f t="shared" si="12"/>
        <v>1.3464382150299681</v>
      </c>
      <c r="F50" s="158">
        <f t="shared" si="13"/>
        <v>0.53838162045639903</v>
      </c>
      <c r="G50" s="158">
        <f t="shared" si="14"/>
        <v>9.8427547131622948</v>
      </c>
      <c r="H50" s="158">
        <f t="shared" si="15"/>
        <v>1.1164204537415687</v>
      </c>
      <c r="I50" s="219">
        <f t="shared" si="16"/>
        <v>6.6543819957702449E-2</v>
      </c>
      <c r="J50" s="155">
        <f t="shared" si="17"/>
        <v>377.92865457173383</v>
      </c>
      <c r="K50" s="155">
        <f t="shared" si="19"/>
        <v>623.07134542826611</v>
      </c>
      <c r="L50" s="155">
        <f t="shared" si="18"/>
        <v>0.61629213197652433</v>
      </c>
    </row>
    <row r="51" spans="2:12" x14ac:dyDescent="0.2">
      <c r="B51" s="98">
        <v>2050</v>
      </c>
      <c r="C51" s="158">
        <f t="shared" si="10"/>
        <v>316.95761758485128</v>
      </c>
      <c r="D51" s="158">
        <f t="shared" si="11"/>
        <v>33.540622335073543</v>
      </c>
      <c r="E51" s="158">
        <f t="shared" si="12"/>
        <v>1.42713088890452</v>
      </c>
      <c r="F51" s="158">
        <f t="shared" si="13"/>
        <v>0.51567337514755562</v>
      </c>
      <c r="G51" s="158">
        <f t="shared" si="14"/>
        <v>10.532726009144067</v>
      </c>
      <c r="H51" s="158">
        <f t="shared" si="15"/>
        <v>1.0693312728184192</v>
      </c>
      <c r="I51" s="219">
        <f t="shared" si="16"/>
        <v>6.6309202774879436E-2</v>
      </c>
      <c r="J51" s="155">
        <f t="shared" si="17"/>
        <v>364.1094106687143</v>
      </c>
      <c r="K51" s="155">
        <f t="shared" si="19"/>
        <v>636.8905893312857</v>
      </c>
      <c r="L51" s="155">
        <f t="shared" si="18"/>
        <v>0.62996101813183547</v>
      </c>
    </row>
    <row r="52" spans="2:12" x14ac:dyDescent="0.2">
      <c r="B52" s="154"/>
      <c r="C52" s="153"/>
      <c r="D52" s="153"/>
      <c r="E52" s="153"/>
      <c r="F52" s="153"/>
      <c r="G52" s="153"/>
      <c r="H52" s="153"/>
      <c r="I52" s="152"/>
      <c r="J52" s="151"/>
      <c r="K52" s="151"/>
      <c r="L52" s="151"/>
    </row>
    <row r="55" spans="2:12" ht="19" x14ac:dyDescent="0.2">
      <c r="B55" s="330"/>
      <c r="C55" s="330"/>
      <c r="D55" s="330"/>
      <c r="E55" s="330"/>
      <c r="F55" s="330"/>
      <c r="G55" s="330"/>
      <c r="H55" s="330"/>
      <c r="I55" s="330"/>
    </row>
    <row r="56" spans="2:12" x14ac:dyDescent="0.2">
      <c r="B56" s="147"/>
      <c r="C56" s="147"/>
      <c r="D56" s="147"/>
      <c r="E56" s="147"/>
      <c r="F56" s="147"/>
      <c r="G56" s="147"/>
      <c r="H56" s="147"/>
      <c r="I56" s="147"/>
    </row>
    <row r="57" spans="2:12" x14ac:dyDescent="0.2">
      <c r="B57" s="143"/>
      <c r="C57" s="145"/>
      <c r="D57" s="145"/>
      <c r="E57" s="145"/>
      <c r="F57" s="145"/>
      <c r="G57" s="145"/>
      <c r="H57" s="145"/>
      <c r="I57" s="145"/>
      <c r="J57" s="3"/>
    </row>
    <row r="58" spans="2:12" x14ac:dyDescent="0.2">
      <c r="B58" s="143"/>
      <c r="C58" s="145"/>
      <c r="D58" s="145"/>
      <c r="E58" s="145"/>
      <c r="F58" s="145"/>
      <c r="G58" s="145"/>
      <c r="H58" s="145"/>
      <c r="I58" s="145"/>
      <c r="J58" s="3"/>
    </row>
    <row r="59" spans="2:12" x14ac:dyDescent="0.2">
      <c r="B59" s="143"/>
      <c r="C59" s="145"/>
      <c r="D59" s="145"/>
      <c r="E59" s="145"/>
      <c r="F59" s="145"/>
      <c r="G59" s="145"/>
      <c r="H59" s="145"/>
      <c r="I59" s="145"/>
      <c r="J59" s="3"/>
    </row>
    <row r="60" spans="2:12" x14ac:dyDescent="0.2">
      <c r="B60" s="143"/>
      <c r="C60" s="145"/>
      <c r="D60" s="145"/>
      <c r="E60" s="145"/>
      <c r="F60" s="145"/>
      <c r="G60" s="145"/>
      <c r="H60" s="145"/>
      <c r="I60" s="145"/>
      <c r="J60" s="3"/>
    </row>
    <row r="61" spans="2:12" x14ac:dyDescent="0.2">
      <c r="B61" s="143"/>
      <c r="C61" s="145"/>
      <c r="D61" s="145"/>
      <c r="E61" s="145"/>
      <c r="F61" s="145"/>
      <c r="G61" s="145"/>
      <c r="H61" s="145"/>
      <c r="I61" s="145"/>
      <c r="J61" s="3"/>
    </row>
    <row r="62" spans="2:12" x14ac:dyDescent="0.2">
      <c r="B62" s="143"/>
      <c r="C62" s="143"/>
      <c r="D62" s="143"/>
      <c r="E62" s="143"/>
      <c r="F62" s="143"/>
      <c r="G62" s="143"/>
      <c r="H62" s="143"/>
      <c r="I62" s="143"/>
    </row>
    <row r="65" spans="2:10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</row>
    <row r="66" spans="2:10" x14ac:dyDescent="0.2">
      <c r="B66" s="147"/>
      <c r="C66" s="147"/>
      <c r="D66" s="147"/>
      <c r="E66" s="147"/>
      <c r="F66" s="147"/>
      <c r="G66" s="147"/>
      <c r="H66" s="147"/>
      <c r="I66" s="147"/>
      <c r="J66" s="218"/>
    </row>
    <row r="67" spans="2:10" x14ac:dyDescent="0.2">
      <c r="B67" s="143"/>
      <c r="C67" s="145"/>
      <c r="D67" s="145"/>
      <c r="E67" s="145"/>
      <c r="F67" s="145"/>
      <c r="G67" s="145"/>
      <c r="H67" s="145"/>
      <c r="I67" s="145"/>
      <c r="J67" s="145"/>
    </row>
    <row r="68" spans="2:10" x14ac:dyDescent="0.2">
      <c r="B68" s="143"/>
      <c r="C68" s="145"/>
      <c r="D68" s="145"/>
      <c r="E68" s="145"/>
      <c r="F68" s="145"/>
      <c r="G68" s="145"/>
      <c r="H68" s="145"/>
      <c r="I68" s="145"/>
      <c r="J68" s="145"/>
    </row>
    <row r="69" spans="2:10" x14ac:dyDescent="0.2">
      <c r="B69" s="143"/>
      <c r="C69" s="145"/>
      <c r="D69" s="145"/>
      <c r="E69" s="145"/>
      <c r="F69" s="145"/>
      <c r="G69" s="145"/>
      <c r="H69" s="145"/>
      <c r="I69" s="145"/>
      <c r="J69" s="145"/>
    </row>
    <row r="70" spans="2:10" x14ac:dyDescent="0.2">
      <c r="B70" s="143"/>
      <c r="C70" s="145"/>
      <c r="D70" s="145"/>
      <c r="E70" s="145"/>
      <c r="F70" s="145"/>
      <c r="G70" s="145"/>
      <c r="H70" s="145"/>
      <c r="I70" s="145"/>
      <c r="J70" s="145"/>
    </row>
    <row r="71" spans="2:10" x14ac:dyDescent="0.2">
      <c r="B71" s="143"/>
      <c r="C71" s="145"/>
      <c r="D71" s="145"/>
      <c r="E71" s="145"/>
      <c r="F71" s="145"/>
      <c r="G71" s="145"/>
      <c r="H71" s="145"/>
      <c r="I71" s="145"/>
      <c r="J71" s="145"/>
    </row>
    <row r="72" spans="2:10" x14ac:dyDescent="0.2">
      <c r="B72" s="143"/>
      <c r="C72" s="143"/>
      <c r="D72" s="143"/>
      <c r="E72" s="143"/>
      <c r="F72" s="143"/>
      <c r="G72" s="143"/>
      <c r="H72" s="143"/>
      <c r="I72" s="143"/>
      <c r="J72" s="218"/>
    </row>
    <row r="84" spans="2:10" x14ac:dyDescent="0.2">
      <c r="B84" s="166" t="s">
        <v>551</v>
      </c>
      <c r="J84" s="165"/>
    </row>
    <row r="85" spans="2:10" x14ac:dyDescent="0.2">
      <c r="B85" s="166" t="s">
        <v>550</v>
      </c>
      <c r="J85" s="165"/>
    </row>
    <row r="86" spans="2:10" x14ac:dyDescent="0.2">
      <c r="J86" s="165"/>
    </row>
    <row r="87" spans="2:10" x14ac:dyDescent="0.2">
      <c r="B87" s="169" t="s">
        <v>587</v>
      </c>
      <c r="J87" s="165"/>
    </row>
    <row r="88" spans="2:10" x14ac:dyDescent="0.2">
      <c r="B88" s="166" t="s">
        <v>544</v>
      </c>
      <c r="J88" s="165"/>
    </row>
    <row r="89" spans="2:10" ht="41" thickBot="1" x14ac:dyDescent="0.25">
      <c r="B89" s="160" t="s">
        <v>543</v>
      </c>
      <c r="C89" s="160">
        <v>2020</v>
      </c>
      <c r="D89" s="160">
        <v>2025</v>
      </c>
      <c r="E89" s="160">
        <v>2030</v>
      </c>
      <c r="F89" s="160">
        <v>2035</v>
      </c>
      <c r="G89" s="160">
        <v>2040</v>
      </c>
      <c r="H89" s="160">
        <v>2045</v>
      </c>
      <c r="I89" s="160">
        <v>2050</v>
      </c>
      <c r="J89" s="159" t="s">
        <v>542</v>
      </c>
    </row>
    <row r="90" spans="2:10" ht="17" thickTop="1" x14ac:dyDescent="0.2">
      <c r="B90" s="150" t="s">
        <v>541</v>
      </c>
      <c r="C90" s="150">
        <v>9.8954627876970207</v>
      </c>
      <c r="D90" s="150">
        <v>9.8954334821414704</v>
      </c>
      <c r="E90" s="150">
        <v>2.0075100221626001</v>
      </c>
      <c r="F90" s="150">
        <v>9.7807291666935595E-2</v>
      </c>
      <c r="G90" s="150">
        <v>9.7807291666666907E-2</v>
      </c>
      <c r="H90" s="150">
        <v>9.7807291665736207E-2</v>
      </c>
      <c r="I90" s="150">
        <v>9.7807291667068905E-2</v>
      </c>
      <c r="J90" s="149">
        <v>-14.26374604470422</v>
      </c>
    </row>
    <row r="91" spans="2:10" x14ac:dyDescent="0.2">
      <c r="B91" s="150" t="s">
        <v>540</v>
      </c>
      <c r="C91" s="150">
        <v>266.72182983020349</v>
      </c>
      <c r="D91" s="150">
        <v>534.89939495235649</v>
      </c>
      <c r="E91" s="150">
        <v>692.66138408735674</v>
      </c>
      <c r="F91" s="150">
        <v>715.78317084885396</v>
      </c>
      <c r="G91" s="150">
        <v>743.28443990046696</v>
      </c>
      <c r="H91" s="150">
        <v>782.10577011902296</v>
      </c>
      <c r="I91" s="150">
        <v>803.08322447087107</v>
      </c>
      <c r="J91" s="149">
        <v>3.7425056382129451</v>
      </c>
    </row>
    <row r="92" spans="2:10" x14ac:dyDescent="0.2">
      <c r="B92" s="150" t="s">
        <v>446</v>
      </c>
      <c r="C92" s="150">
        <v>4312.5415319416798</v>
      </c>
      <c r="D92" s="150">
        <v>3991.1995540867888</v>
      </c>
      <c r="E92" s="150">
        <v>3555.7350816071698</v>
      </c>
      <c r="F92" s="150">
        <v>3555.7350816071698</v>
      </c>
      <c r="G92" s="150">
        <v>3555.7350816071698</v>
      </c>
      <c r="H92" s="150">
        <v>3555.7350816071698</v>
      </c>
      <c r="I92" s="150">
        <v>3555.7350816071698</v>
      </c>
      <c r="J92" s="149">
        <v>-0.6411544337100894</v>
      </c>
    </row>
    <row r="93" spans="2:10" x14ac:dyDescent="0.2">
      <c r="B93" s="150" t="s">
        <v>454</v>
      </c>
      <c r="C93" s="150">
        <v>331.37277194259201</v>
      </c>
      <c r="D93" s="150">
        <v>416.28616754838089</v>
      </c>
      <c r="E93" s="150">
        <v>538.46321031671096</v>
      </c>
      <c r="F93" s="150">
        <v>673.55270332592102</v>
      </c>
      <c r="G93" s="150">
        <v>794.60692433417501</v>
      </c>
      <c r="H93" s="150">
        <v>905.13469134170998</v>
      </c>
      <c r="I93" s="150">
        <v>1001.62718634829</v>
      </c>
      <c r="J93" s="149">
        <v>3.7559416155080521</v>
      </c>
    </row>
    <row r="94" spans="2:10" x14ac:dyDescent="0.2">
      <c r="B94" s="150" t="s">
        <v>539</v>
      </c>
      <c r="C94" s="150">
        <v>1972.5105802191131</v>
      </c>
      <c r="D94" s="150">
        <v>2989.8608377725932</v>
      </c>
      <c r="E94" s="150">
        <v>3660.4155333573931</v>
      </c>
      <c r="F94" s="150">
        <v>4189.8871669420787</v>
      </c>
      <c r="G94" s="150">
        <v>4853.481093907566</v>
      </c>
      <c r="H94" s="150">
        <v>5512.8268460300787</v>
      </c>
      <c r="I94" s="150">
        <v>5869.0048140323706</v>
      </c>
      <c r="J94" s="149">
        <v>3.7014520411245981</v>
      </c>
    </row>
    <row r="95" spans="2:10" x14ac:dyDescent="0.2">
      <c r="B95" s="150" t="s">
        <v>538</v>
      </c>
      <c r="C95" s="150">
        <v>1116.9430395248801</v>
      </c>
      <c r="D95" s="150">
        <v>1266.0422534905099</v>
      </c>
      <c r="E95" s="150">
        <v>1334.1493658352099</v>
      </c>
      <c r="F95" s="150">
        <v>1381.2033504702099</v>
      </c>
      <c r="G95" s="150">
        <v>1447.6947442998901</v>
      </c>
      <c r="H95" s="150">
        <v>1447.6947442998901</v>
      </c>
      <c r="I95" s="150">
        <v>1447.6947442998801</v>
      </c>
      <c r="J95" s="149">
        <v>0.86833815624478561</v>
      </c>
    </row>
    <row r="96" spans="2:10" x14ac:dyDescent="0.2">
      <c r="B96" s="150" t="s">
        <v>537</v>
      </c>
      <c r="C96" s="150">
        <v>574.06180134977399</v>
      </c>
      <c r="D96" s="150">
        <v>899.09205066805407</v>
      </c>
      <c r="E96" s="150">
        <v>1000.67558147103</v>
      </c>
      <c r="F96" s="150">
        <v>1000.67558147103</v>
      </c>
      <c r="G96" s="150">
        <v>1000.67558147103</v>
      </c>
      <c r="H96" s="150">
        <v>1000.67558147103</v>
      </c>
      <c r="I96" s="150">
        <v>1000.67558147103</v>
      </c>
      <c r="J96" s="149">
        <v>1.8695736258874001</v>
      </c>
    </row>
    <row r="97" spans="2:10" x14ac:dyDescent="0.2">
      <c r="B97" s="150" t="s">
        <v>536</v>
      </c>
      <c r="C97" s="150">
        <v>0.19675335912768299</v>
      </c>
      <c r="D97" s="150">
        <v>0.19675335912768299</v>
      </c>
      <c r="E97" s="150">
        <v>0.19675335912768299</v>
      </c>
      <c r="F97" s="150">
        <v>0.19675335912768299</v>
      </c>
      <c r="G97" s="150">
        <v>0.19675335912768299</v>
      </c>
      <c r="H97" s="150">
        <v>0.19675335912768299</v>
      </c>
      <c r="I97" s="150">
        <v>0.19675335912768299</v>
      </c>
      <c r="J97" s="149">
        <v>0</v>
      </c>
    </row>
    <row r="98" spans="2:10" x14ac:dyDescent="0.2">
      <c r="B98" s="150" t="s">
        <v>535</v>
      </c>
      <c r="C98" s="150">
        <v>281.30898598533099</v>
      </c>
      <c r="D98" s="150">
        <v>823.93755888503904</v>
      </c>
      <c r="E98" s="150">
        <v>1304.38866526833</v>
      </c>
      <c r="F98" s="150">
        <v>1773.6901607488701</v>
      </c>
      <c r="G98" s="150">
        <v>2368.2225665742199</v>
      </c>
      <c r="H98" s="150">
        <v>3024.7910672090702</v>
      </c>
      <c r="I98" s="150">
        <v>3379.3643853895201</v>
      </c>
      <c r="J98" s="149">
        <v>8.6396557022345277</v>
      </c>
    </row>
    <row r="99" spans="2:10" x14ac:dyDescent="0.2">
      <c r="B99" s="150" t="s">
        <v>534</v>
      </c>
      <c r="C99" s="150">
        <v>0</v>
      </c>
      <c r="D99" s="150">
        <v>0.59222136986249529</v>
      </c>
      <c r="E99" s="150">
        <v>21.005167423695219</v>
      </c>
      <c r="F99" s="150">
        <v>34.121320892840821</v>
      </c>
      <c r="G99" s="150">
        <v>36.691448203297718</v>
      </c>
      <c r="H99" s="150">
        <v>39.46869969096042</v>
      </c>
      <c r="I99" s="150">
        <v>41.073349512812918</v>
      </c>
      <c r="J99" s="149" t="s">
        <v>16</v>
      </c>
    </row>
    <row r="100" spans="2:10" ht="17" thickBot="1" x14ac:dyDescent="0.25">
      <c r="B100" s="150" t="s">
        <v>533</v>
      </c>
      <c r="C100" s="150">
        <v>6893.0421767212856</v>
      </c>
      <c r="D100" s="150">
        <v>7942.1413878422609</v>
      </c>
      <c r="E100" s="150">
        <v>8449.2827193907924</v>
      </c>
      <c r="F100" s="150">
        <v>9135.0559300156892</v>
      </c>
      <c r="G100" s="150">
        <v>9947.2053470410447</v>
      </c>
      <c r="H100" s="150">
        <v>10755.90019638965</v>
      </c>
      <c r="I100" s="150">
        <v>11229.54811375037</v>
      </c>
      <c r="J100" s="149">
        <v>1.640090907402225</v>
      </c>
    </row>
    <row r="101" spans="2:10" ht="17" thickBot="1" x14ac:dyDescent="0.25">
      <c r="B101" s="337" t="s">
        <v>532</v>
      </c>
      <c r="C101" s="337"/>
      <c r="D101" s="337"/>
      <c r="E101" s="337"/>
      <c r="F101" s="337"/>
      <c r="G101" s="337"/>
      <c r="H101" s="337"/>
      <c r="I101" s="337"/>
      <c r="J101" s="337"/>
    </row>
    <row r="102" spans="2:10" ht="17" thickBot="1" x14ac:dyDescent="0.25">
      <c r="B102" s="337"/>
      <c r="C102" s="337"/>
      <c r="D102" s="337"/>
      <c r="E102" s="337"/>
      <c r="F102" s="337"/>
      <c r="G102" s="337"/>
      <c r="H102" s="337"/>
      <c r="I102" s="337"/>
      <c r="J102" s="337"/>
    </row>
    <row r="103" spans="2:10" ht="17" thickBot="1" x14ac:dyDescent="0.25">
      <c r="B103" s="337"/>
      <c r="C103" s="337"/>
      <c r="D103" s="337"/>
      <c r="E103" s="337"/>
      <c r="F103" s="337"/>
      <c r="G103" s="337"/>
      <c r="H103" s="337"/>
      <c r="I103" s="337"/>
      <c r="J103" s="337"/>
    </row>
    <row r="104" spans="2:10" ht="17" thickBot="1" x14ac:dyDescent="0.25">
      <c r="B104" s="337"/>
      <c r="C104" s="337"/>
      <c r="D104" s="337"/>
      <c r="E104" s="337"/>
      <c r="F104" s="337"/>
      <c r="G104" s="337"/>
      <c r="H104" s="337"/>
      <c r="I104" s="337"/>
      <c r="J104" s="337"/>
    </row>
    <row r="105" spans="2:10" ht="17" thickBot="1" x14ac:dyDescent="0.25">
      <c r="B105" s="337"/>
      <c r="C105" s="337"/>
      <c r="D105" s="337"/>
      <c r="E105" s="337"/>
      <c r="F105" s="337"/>
      <c r="G105" s="337"/>
      <c r="H105" s="337"/>
      <c r="I105" s="337"/>
      <c r="J105" s="337"/>
    </row>
    <row r="106" spans="2:10" ht="17" thickBot="1" x14ac:dyDescent="0.25">
      <c r="B106" s="337"/>
      <c r="C106" s="337"/>
      <c r="D106" s="337"/>
      <c r="E106" s="337"/>
      <c r="F106" s="337"/>
      <c r="G106" s="337"/>
      <c r="H106" s="337"/>
      <c r="I106" s="337"/>
      <c r="J106" s="337"/>
    </row>
    <row r="107" spans="2:10" ht="17" thickBot="1" x14ac:dyDescent="0.25">
      <c r="B107" s="337"/>
      <c r="C107" s="337"/>
      <c r="D107" s="337"/>
      <c r="E107" s="337"/>
      <c r="F107" s="337"/>
      <c r="G107" s="337"/>
      <c r="H107" s="337"/>
      <c r="I107" s="337"/>
      <c r="J107" s="337"/>
    </row>
    <row r="108" spans="2:10" ht="17" thickBot="1" x14ac:dyDescent="0.25">
      <c r="B108" s="337"/>
      <c r="C108" s="337"/>
      <c r="D108" s="337"/>
      <c r="E108" s="337"/>
      <c r="F108" s="337"/>
      <c r="G108" s="337"/>
      <c r="H108" s="337"/>
      <c r="I108" s="337"/>
      <c r="J108" s="337"/>
    </row>
    <row r="109" spans="2:10" ht="17" thickBot="1" x14ac:dyDescent="0.25">
      <c r="B109" s="337"/>
      <c r="C109" s="337"/>
      <c r="D109" s="337"/>
      <c r="E109" s="337"/>
      <c r="F109" s="337"/>
      <c r="G109" s="337"/>
      <c r="H109" s="337"/>
      <c r="I109" s="337"/>
      <c r="J109" s="337"/>
    </row>
    <row r="110" spans="2:10" ht="17" thickBot="1" x14ac:dyDescent="0.25">
      <c r="B110" s="337"/>
      <c r="C110" s="337"/>
      <c r="D110" s="337"/>
      <c r="E110" s="337"/>
      <c r="F110" s="337"/>
      <c r="G110" s="337"/>
      <c r="H110" s="337"/>
      <c r="I110" s="337"/>
      <c r="J110" s="337"/>
    </row>
    <row r="111" spans="2:10" x14ac:dyDescent="0.2">
      <c r="B111" s="337"/>
      <c r="C111" s="337"/>
      <c r="D111" s="337"/>
      <c r="E111" s="337"/>
      <c r="F111" s="337"/>
      <c r="G111" s="337"/>
      <c r="H111" s="337"/>
      <c r="I111" s="337"/>
      <c r="J111" s="337"/>
    </row>
  </sheetData>
  <mergeCells count="11">
    <mergeCell ref="L42:L43"/>
    <mergeCell ref="N34:V44"/>
    <mergeCell ref="B2:I2"/>
    <mergeCell ref="B101:J111"/>
    <mergeCell ref="B17:I17"/>
    <mergeCell ref="B29:I29"/>
    <mergeCell ref="B42:I42"/>
    <mergeCell ref="B55:I55"/>
    <mergeCell ref="B65:I65"/>
    <mergeCell ref="J42:J43"/>
    <mergeCell ref="K42:K4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177-E72C-47CA-AFE4-E04F1F9675F8}">
  <sheetPr>
    <tabColor theme="6"/>
  </sheetPr>
  <dimension ref="A1:U72"/>
  <sheetViews>
    <sheetView workbookViewId="0">
      <selection activeCell="J4" sqref="J4:J10"/>
    </sheetView>
  </sheetViews>
  <sheetFormatPr baseColWidth="10" defaultColWidth="11" defaultRowHeight="16" x14ac:dyDescent="0.2"/>
  <cols>
    <col min="2" max="2" width="12" customWidth="1"/>
    <col min="3" max="3" width="15.33203125" customWidth="1"/>
    <col min="4" max="4" width="16.83203125" customWidth="1"/>
    <col min="5" max="5" width="18.33203125" customWidth="1"/>
    <col min="7" max="7" width="13" bestFit="1" customWidth="1"/>
    <col min="10" max="10" width="12.33203125" customWidth="1"/>
    <col min="13" max="13" width="16.33203125" customWidth="1"/>
  </cols>
  <sheetData>
    <row r="1" spans="1:21" x14ac:dyDescent="0.2">
      <c r="A1" s="4" t="s">
        <v>595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2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21" ht="68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35" t="s">
        <v>527</v>
      </c>
      <c r="J3" s="39" t="s">
        <v>460</v>
      </c>
      <c r="K3" s="213"/>
    </row>
    <row r="4" spans="1:21" x14ac:dyDescent="0.2">
      <c r="A4" s="4"/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21" x14ac:dyDescent="0.2">
      <c r="A5" s="4"/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21" x14ac:dyDescent="0.2">
      <c r="A6" s="4"/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21" x14ac:dyDescent="0.2">
      <c r="A7" s="4"/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21" x14ac:dyDescent="0.2">
      <c r="A8" s="4"/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21" x14ac:dyDescent="0.2">
      <c r="A9" s="4"/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21" x14ac:dyDescent="0.2">
      <c r="A10" s="4"/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2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21" x14ac:dyDescent="0.2">
      <c r="A12" s="4"/>
      <c r="B12" s="209"/>
      <c r="C12" s="208"/>
      <c r="D12" s="206"/>
      <c r="E12" s="207"/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2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2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  <c r="M14" s="166" t="s">
        <v>551</v>
      </c>
      <c r="U14" s="165"/>
    </row>
    <row r="15" spans="1:2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M15" s="166" t="s">
        <v>550</v>
      </c>
      <c r="U15" s="165"/>
    </row>
    <row r="16" spans="1:2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U16" s="165"/>
    </row>
    <row r="17" spans="1:21" ht="19" x14ac:dyDescent="0.2">
      <c r="A17" s="4"/>
      <c r="B17" s="331" t="s">
        <v>594</v>
      </c>
      <c r="C17" s="332"/>
      <c r="D17" s="332"/>
      <c r="E17" s="332"/>
      <c r="F17" s="332"/>
      <c r="G17" s="332"/>
      <c r="H17" s="332"/>
      <c r="I17" s="332"/>
      <c r="J17" s="191"/>
      <c r="K17" s="4"/>
      <c r="M17" s="169" t="s">
        <v>593</v>
      </c>
      <c r="U17" s="165"/>
    </row>
    <row r="18" spans="1:21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80" t="s">
        <v>520</v>
      </c>
      <c r="J18" s="221" t="s">
        <v>463</v>
      </c>
      <c r="K18" s="4"/>
      <c r="M18" s="166" t="s">
        <v>544</v>
      </c>
      <c r="U18" s="165"/>
    </row>
    <row r="19" spans="1:21" ht="27" customHeight="1" thickBot="1" x14ac:dyDescent="0.25">
      <c r="A19" s="4"/>
      <c r="B19" s="189"/>
      <c r="C19" s="188"/>
      <c r="D19" s="188"/>
      <c r="E19" s="188"/>
      <c r="F19" s="188"/>
      <c r="G19" s="188"/>
      <c r="H19" s="188"/>
      <c r="I19" s="188"/>
      <c r="J19" s="182"/>
      <c r="K19" s="4"/>
      <c r="M19" s="160" t="s">
        <v>543</v>
      </c>
      <c r="N19" s="160">
        <v>2020</v>
      </c>
      <c r="O19" s="160">
        <v>2025</v>
      </c>
      <c r="P19" s="160">
        <v>2030</v>
      </c>
      <c r="Q19" s="160">
        <v>2035</v>
      </c>
      <c r="R19" s="160">
        <v>2040</v>
      </c>
      <c r="S19" s="160">
        <v>2045</v>
      </c>
      <c r="T19" s="160">
        <v>2050</v>
      </c>
      <c r="U19" s="159" t="s">
        <v>542</v>
      </c>
    </row>
    <row r="20" spans="1:21" ht="17" thickTop="1" x14ac:dyDescent="0.2">
      <c r="A20" s="4"/>
      <c r="B20" s="99">
        <v>2020</v>
      </c>
      <c r="C20" s="184">
        <f>N22/1000</f>
        <v>1.1595941188263299E-2</v>
      </c>
      <c r="D20" s="184">
        <f>N21/1000</f>
        <v>5.5864582161499601E-2</v>
      </c>
      <c r="E20" s="184">
        <f>N23/1000</f>
        <v>1.3957308000951602E-2</v>
      </c>
      <c r="F20" s="184">
        <f>N25/1000</f>
        <v>0.38858178996628195</v>
      </c>
      <c r="G20" s="184">
        <f>N28/1000</f>
        <v>2.7074705387084798E-3</v>
      </c>
      <c r="H20" s="184">
        <f>N26/1000</f>
        <v>5.5853297826347799E-2</v>
      </c>
      <c r="I20" s="184">
        <f>(N20+N27+N29)/1000</f>
        <v>6.0076681850737654E-2</v>
      </c>
      <c r="J20" s="182">
        <f t="shared" ref="J20:J26" si="2">SUM(C20:I20)</f>
        <v>0.58863707153279043</v>
      </c>
      <c r="K20" s="4"/>
      <c r="M20" s="150" t="s">
        <v>541</v>
      </c>
      <c r="N20" s="150">
        <v>11.77356384954081</v>
      </c>
      <c r="O20" s="150">
        <v>11.773475932874151</v>
      </c>
      <c r="P20" s="150">
        <v>3.193046160180927</v>
      </c>
      <c r="Q20" s="150">
        <v>9.8906250000000098E-2</v>
      </c>
      <c r="R20" s="150">
        <v>9.8906249999999599E-2</v>
      </c>
      <c r="S20" s="150">
        <v>9.8906250000000001E-2</v>
      </c>
      <c r="T20" s="150">
        <v>9.8906249999999196E-2</v>
      </c>
      <c r="U20" s="149">
        <v>-14.727199450089371</v>
      </c>
    </row>
    <row r="21" spans="1:21" x14ac:dyDescent="0.2">
      <c r="A21" s="4"/>
      <c r="B21" s="99">
        <v>2025</v>
      </c>
      <c r="C21" s="184">
        <f>O22/1000</f>
        <v>8.1775377240833891E-3</v>
      </c>
      <c r="D21" s="184">
        <f>O21/1000</f>
        <v>6.0740082374214799E-2</v>
      </c>
      <c r="E21" s="184">
        <f>O23/1000</f>
        <v>1.3957308000951602E-2</v>
      </c>
      <c r="F21" s="184">
        <f>O24/1000</f>
        <v>0.55033299550353965</v>
      </c>
      <c r="G21" s="184">
        <f>O28/1000</f>
        <v>6.7694084347741795E-3</v>
      </c>
      <c r="H21" s="184">
        <f>O26/1000</f>
        <v>8.0573495213450794E-2</v>
      </c>
      <c r="I21" s="184">
        <f>(O20+O27+O29)/1000</f>
        <v>6.5017991499922892E-2</v>
      </c>
      <c r="J21" s="182">
        <f t="shared" si="2"/>
        <v>0.78556881875093731</v>
      </c>
      <c r="K21" s="4"/>
      <c r="M21" s="150" t="s">
        <v>540</v>
      </c>
      <c r="N21" s="150">
        <v>55.864582161499598</v>
      </c>
      <c r="O21" s="150">
        <v>60.740082374214801</v>
      </c>
      <c r="P21" s="150">
        <v>60.740082374214701</v>
      </c>
      <c r="Q21" s="150">
        <v>46.454662441872728</v>
      </c>
      <c r="R21" s="150">
        <v>36.262259020516751</v>
      </c>
      <c r="S21" s="150">
        <v>28.027160007907401</v>
      </c>
      <c r="T21" s="150">
        <v>28.027160007907401</v>
      </c>
      <c r="U21" s="149">
        <v>-2.2729585586594769</v>
      </c>
    </row>
    <row r="22" spans="1:21" x14ac:dyDescent="0.2">
      <c r="A22" s="4"/>
      <c r="B22" s="99">
        <v>2030</v>
      </c>
      <c r="C22" s="184">
        <f>P22/1000</f>
        <v>4.7591635654590592E-3</v>
      </c>
      <c r="D22" s="184">
        <f>P21/1000</f>
        <v>6.0740082374214702E-2</v>
      </c>
      <c r="E22" s="184">
        <f>P23/1000</f>
        <v>2.32374330015843E-2</v>
      </c>
      <c r="F22" s="184">
        <f>P25/1000</f>
        <v>0.411062320493015</v>
      </c>
      <c r="G22" s="184">
        <f>P28/1000</f>
        <v>8.3088331324298898E-3</v>
      </c>
      <c r="H22" s="184">
        <f>P26/1000</f>
        <v>0.122261845744042</v>
      </c>
      <c r="I22" s="184">
        <f>(P20+P27+P29)/1000</f>
        <v>6.2492960620174953E-2</v>
      </c>
      <c r="J22" s="182">
        <f t="shared" si="2"/>
        <v>0.69286263893091993</v>
      </c>
      <c r="K22" s="4"/>
      <c r="M22" s="150" t="s">
        <v>446</v>
      </c>
      <c r="N22" s="150">
        <v>11.5959411882633</v>
      </c>
      <c r="O22" s="150">
        <v>8.1775377240833897</v>
      </c>
      <c r="P22" s="150">
        <v>4.7591635654590592</v>
      </c>
      <c r="Q22" s="150">
        <v>5.9901588949807998</v>
      </c>
      <c r="R22" s="150">
        <v>0</v>
      </c>
      <c r="S22" s="150">
        <v>3.7246949579913</v>
      </c>
      <c r="T22" s="150">
        <v>3.7246949579913</v>
      </c>
      <c r="U22" s="149">
        <v>-3.7148103332135141</v>
      </c>
    </row>
    <row r="23" spans="1:21" x14ac:dyDescent="0.2">
      <c r="A23" s="4"/>
      <c r="B23" s="99">
        <v>2035</v>
      </c>
      <c r="C23" s="184">
        <f>Q22/1000</f>
        <v>5.9901588949808002E-3</v>
      </c>
      <c r="D23" s="184">
        <f>Q21/1000</f>
        <v>4.6454662441872727E-2</v>
      </c>
      <c r="E23" s="184">
        <f>Q23/1000</f>
        <v>2.32374330015843E-2</v>
      </c>
      <c r="F23" s="184">
        <f>Q25/1000</f>
        <v>0.41336014087092798</v>
      </c>
      <c r="G23" s="184">
        <f>Q28/1000</f>
        <v>9.0918024204839996E-3</v>
      </c>
      <c r="H23" s="184">
        <f>Q26/1000</f>
        <v>0.18075092456039599</v>
      </c>
      <c r="I23" s="184">
        <f>(Q20+Q27+Q29)/1000</f>
        <v>6.5370088201342241E-2</v>
      </c>
      <c r="J23" s="182">
        <f t="shared" si="2"/>
        <v>0.74425521039158815</v>
      </c>
      <c r="K23" s="4"/>
      <c r="M23" s="150" t="s">
        <v>454</v>
      </c>
      <c r="N23" s="150">
        <v>13.957308000951601</v>
      </c>
      <c r="O23" s="150">
        <v>13.957308000951601</v>
      </c>
      <c r="P23" s="150">
        <v>23.2374330015843</v>
      </c>
      <c r="Q23" s="150">
        <v>23.2374330015843</v>
      </c>
      <c r="R23" s="150">
        <v>23.2374330015843</v>
      </c>
      <c r="S23" s="150">
        <v>18.114804001235001</v>
      </c>
      <c r="T23" s="150">
        <v>18.114804001235001</v>
      </c>
      <c r="U23" s="149">
        <v>0.87287507168483103</v>
      </c>
    </row>
    <row r="24" spans="1:21" x14ac:dyDescent="0.2">
      <c r="A24" s="4"/>
      <c r="B24" s="99">
        <v>2040</v>
      </c>
      <c r="C24" s="184">
        <f>N22/1000</f>
        <v>1.1595941188263299E-2</v>
      </c>
      <c r="D24" s="184">
        <f>R21/1000</f>
        <v>3.6262259020516753E-2</v>
      </c>
      <c r="E24" s="184">
        <f>R23/1000</f>
        <v>2.32374330015843E-2</v>
      </c>
      <c r="F24" s="184">
        <f>R25/1000</f>
        <v>0.41815706374974504</v>
      </c>
      <c r="G24" s="184">
        <f>R28/1000</f>
        <v>9.874771708538118E-3</v>
      </c>
      <c r="H24" s="184">
        <f>R26/1000</f>
        <v>0.234522916201377</v>
      </c>
      <c r="I24" s="184">
        <f>(R20+R27+R29)/1000</f>
        <v>6.9519983515170941E-2</v>
      </c>
      <c r="J24" s="182">
        <f t="shared" si="2"/>
        <v>0.80317036838519551</v>
      </c>
      <c r="K24" s="4"/>
      <c r="M24" s="150" t="s">
        <v>539</v>
      </c>
      <c r="N24" s="150">
        <v>495.44567633253507</v>
      </c>
      <c r="O24" s="150">
        <v>550.33299550353968</v>
      </c>
      <c r="P24" s="150">
        <v>600.93291382948087</v>
      </c>
      <c r="Q24" s="150">
        <v>668.47404980315025</v>
      </c>
      <c r="R24" s="150">
        <v>731.97582892483103</v>
      </c>
      <c r="S24" s="150">
        <v>769.50031559399451</v>
      </c>
      <c r="T24" s="150">
        <v>803.98042707968159</v>
      </c>
      <c r="U24" s="149">
        <v>1.6268148840301591</v>
      </c>
    </row>
    <row r="25" spans="1:21" x14ac:dyDescent="0.2">
      <c r="A25" s="4"/>
      <c r="B25" s="99">
        <v>2045</v>
      </c>
      <c r="C25" s="184">
        <f>S22/1000</f>
        <v>3.7246949579913002E-3</v>
      </c>
      <c r="D25" s="184">
        <f>S21/1000</f>
        <v>2.8027160007907403E-2</v>
      </c>
      <c r="E25" s="184">
        <f>S23/1000</f>
        <v>1.8114804001235E-2</v>
      </c>
      <c r="F25" s="184">
        <f>S25/1000</f>
        <v>0.42798057440605602</v>
      </c>
      <c r="G25" s="184">
        <f>S28/1000</f>
        <v>1.06577409965922E-2</v>
      </c>
      <c r="H25" s="184">
        <f>S26/1000</f>
        <v>0.25892153335161999</v>
      </c>
      <c r="I25" s="184">
        <f>(S20+S27+S29)/1000</f>
        <v>7.2039373089726313E-2</v>
      </c>
      <c r="J25" s="182">
        <f t="shared" si="2"/>
        <v>0.81946588081112826</v>
      </c>
      <c r="K25" s="4"/>
      <c r="M25" s="150" t="s">
        <v>538</v>
      </c>
      <c r="N25" s="150">
        <v>388.58178996628197</v>
      </c>
      <c r="O25" s="150">
        <v>409.74557628826602</v>
      </c>
      <c r="P25" s="150">
        <v>411.06232049301502</v>
      </c>
      <c r="Q25" s="150">
        <v>413.36014087092798</v>
      </c>
      <c r="R25" s="150">
        <v>418.15706374974502</v>
      </c>
      <c r="S25" s="150">
        <v>427.98057440605601</v>
      </c>
      <c r="T25" s="150">
        <v>447.91434851722602</v>
      </c>
      <c r="U25" s="149">
        <v>0.47478472297204372</v>
      </c>
    </row>
    <row r="26" spans="1:21" x14ac:dyDescent="0.2">
      <c r="A26" s="4"/>
      <c r="B26" s="98">
        <v>2050</v>
      </c>
      <c r="C26" s="180">
        <f>S22/1000</f>
        <v>3.7246949579913002E-3</v>
      </c>
      <c r="D26" s="180">
        <f>T21/1000</f>
        <v>2.8027160007907403E-2</v>
      </c>
      <c r="E26" s="180">
        <f>T23/1000</f>
        <v>1.8114804001235E-2</v>
      </c>
      <c r="F26" s="180">
        <f>T25/1000</f>
        <v>0.447914348517226</v>
      </c>
      <c r="G26" s="180">
        <f>T28/1000</f>
        <v>1.14407102846464E-2</v>
      </c>
      <c r="H26" s="180">
        <f>T26/1000</f>
        <v>0.26966099566078799</v>
      </c>
      <c r="I26" s="180">
        <f>(T20+T27+T29)/1000</f>
        <v>7.5063278867021216E-2</v>
      </c>
      <c r="J26" s="182">
        <f t="shared" si="2"/>
        <v>0.85394599229681545</v>
      </c>
      <c r="K26" s="4"/>
      <c r="M26" s="150" t="s">
        <v>537</v>
      </c>
      <c r="N26" s="150">
        <v>55.853297826347799</v>
      </c>
      <c r="O26" s="150">
        <v>80.573495213450798</v>
      </c>
      <c r="P26" s="150">
        <v>122.26184574404201</v>
      </c>
      <c r="Q26" s="150">
        <v>180.75092456039599</v>
      </c>
      <c r="R26" s="150">
        <v>234.522916201377</v>
      </c>
      <c r="S26" s="150">
        <v>258.92153335161998</v>
      </c>
      <c r="T26" s="150">
        <v>269.66099566078799</v>
      </c>
      <c r="U26" s="149">
        <v>5.3882784967121289</v>
      </c>
    </row>
    <row r="27" spans="1:21" x14ac:dyDescent="0.2">
      <c r="A27" s="4"/>
      <c r="B27" s="248"/>
      <c r="C27" s="248"/>
      <c r="D27" s="248"/>
      <c r="E27" s="248"/>
      <c r="F27" s="248"/>
      <c r="G27" s="248"/>
      <c r="H27" s="248"/>
      <c r="I27" s="248"/>
      <c r="J27" s="248"/>
      <c r="K27" s="4"/>
      <c r="M27" s="150" t="s">
        <v>536</v>
      </c>
      <c r="N27" s="150">
        <v>0</v>
      </c>
      <c r="O27" s="150">
        <v>0</v>
      </c>
      <c r="P27" s="150">
        <v>0</v>
      </c>
      <c r="Q27" s="150">
        <v>0</v>
      </c>
      <c r="R27" s="150">
        <v>0</v>
      </c>
      <c r="S27" s="150">
        <v>0</v>
      </c>
      <c r="T27" s="150">
        <v>0</v>
      </c>
      <c r="U27" s="149">
        <v>0</v>
      </c>
    </row>
    <row r="28" spans="1:2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M28" s="150" t="s">
        <v>535</v>
      </c>
      <c r="N28" s="150">
        <v>2.7074705387084799</v>
      </c>
      <c r="O28" s="150">
        <v>6.7694084347741796</v>
      </c>
      <c r="P28" s="150">
        <v>8.3088331324298892</v>
      </c>
      <c r="Q28" s="150">
        <v>9.0918024204839991</v>
      </c>
      <c r="R28" s="150">
        <v>9.8747717085381179</v>
      </c>
      <c r="S28" s="150">
        <v>10.657740996592199</v>
      </c>
      <c r="T28" s="150">
        <v>11.4407102846464</v>
      </c>
      <c r="U28" s="149">
        <v>4.9211337823309664</v>
      </c>
    </row>
    <row r="29" spans="1:21" ht="19" x14ac:dyDescent="0.2">
      <c r="A29" s="4"/>
      <c r="B29" s="331" t="s">
        <v>592</v>
      </c>
      <c r="C29" s="332"/>
      <c r="D29" s="332"/>
      <c r="E29" s="332"/>
      <c r="F29" s="332"/>
      <c r="G29" s="332"/>
      <c r="H29" s="332"/>
      <c r="I29" s="338"/>
      <c r="J29" s="4"/>
      <c r="K29" s="4"/>
      <c r="M29" s="150" t="s">
        <v>534</v>
      </c>
      <c r="N29" s="150">
        <v>48.303118001196843</v>
      </c>
      <c r="O29" s="150">
        <v>53.244515567048737</v>
      </c>
      <c r="P29" s="150">
        <v>59.299914459994028</v>
      </c>
      <c r="Q29" s="150">
        <v>65.271181951342243</v>
      </c>
      <c r="R29" s="150">
        <v>69.421077265170936</v>
      </c>
      <c r="S29" s="150">
        <v>71.940466839726312</v>
      </c>
      <c r="T29" s="150">
        <v>74.964372617021212</v>
      </c>
      <c r="U29" s="149">
        <v>1.475840735117018</v>
      </c>
    </row>
    <row r="30" spans="1:21" ht="17" thickBot="1" x14ac:dyDescent="0.25">
      <c r="A30" s="4"/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K30" s="4"/>
      <c r="M30" s="150" t="s">
        <v>533</v>
      </c>
      <c r="N30" s="150">
        <v>588.63707153279029</v>
      </c>
      <c r="O30" s="150">
        <v>644.98139953566363</v>
      </c>
      <c r="P30" s="150">
        <v>692.86263893091996</v>
      </c>
      <c r="Q30" s="150">
        <v>744.25521039158809</v>
      </c>
      <c r="R30" s="150">
        <v>791.57442719693211</v>
      </c>
      <c r="S30" s="150">
        <v>819.46588081112827</v>
      </c>
      <c r="T30" s="150">
        <v>853.94599229681535</v>
      </c>
      <c r="U30" s="149">
        <v>1.24791607568453</v>
      </c>
    </row>
    <row r="31" spans="1:21" ht="17" thickBot="1" x14ac:dyDescent="0.25">
      <c r="A31" s="4"/>
      <c r="B31" s="189"/>
      <c r="C31" s="175"/>
      <c r="D31" s="175"/>
      <c r="E31" s="175"/>
      <c r="F31" s="175"/>
      <c r="G31" s="175"/>
      <c r="H31" s="175"/>
      <c r="I31" s="174"/>
      <c r="J31" s="8"/>
      <c r="K31" s="4"/>
      <c r="M31" s="337" t="s">
        <v>532</v>
      </c>
      <c r="N31" s="337"/>
      <c r="O31" s="337"/>
      <c r="P31" s="337"/>
      <c r="Q31" s="337"/>
      <c r="R31" s="337"/>
      <c r="S31" s="337"/>
      <c r="T31" s="337"/>
      <c r="U31" s="337"/>
    </row>
    <row r="32" spans="1:21" ht="17" thickBot="1" x14ac:dyDescent="0.25">
      <c r="A32" s="4"/>
      <c r="B32" s="99">
        <v>2020</v>
      </c>
      <c r="C32" s="175">
        <f t="shared" ref="C32:C38" si="3">C20/J20</f>
        <v>1.9699644737066715E-2</v>
      </c>
      <c r="D32" s="175">
        <f t="shared" ref="D32:D38" si="4">D20/J20</f>
        <v>9.4904967531233078E-2</v>
      </c>
      <c r="E32" s="175">
        <f t="shared" ref="E32:E38" si="5">E20/J20</f>
        <v>2.3711228320376181E-2</v>
      </c>
      <c r="F32" s="175">
        <f t="shared" ref="F32:F38" si="6">F20/J20</f>
        <v>0.6601381543205026</v>
      </c>
      <c r="G32" s="175">
        <f t="shared" ref="G32:G38" si="7">G20/J20</f>
        <v>4.5995583180962777E-3</v>
      </c>
      <c r="H32" s="175">
        <f t="shared" ref="H32:H38" si="8">H20/J20</f>
        <v>9.488579725518774E-2</v>
      </c>
      <c r="I32" s="174">
        <f t="shared" ref="I32:I38" si="9">I20/J20</f>
        <v>0.10206064951753729</v>
      </c>
      <c r="J32" s="4"/>
      <c r="K32" s="4"/>
      <c r="M32" s="337"/>
      <c r="N32" s="337"/>
      <c r="O32" s="337"/>
      <c r="P32" s="337"/>
      <c r="Q32" s="337"/>
      <c r="R32" s="337"/>
      <c r="S32" s="337"/>
      <c r="T32" s="337"/>
      <c r="U32" s="337"/>
    </row>
    <row r="33" spans="1:21" ht="17" thickBot="1" x14ac:dyDescent="0.25">
      <c r="A33" s="4"/>
      <c r="B33" s="99">
        <v>2025</v>
      </c>
      <c r="C33" s="175">
        <f t="shared" si="3"/>
        <v>1.0409702535146137E-2</v>
      </c>
      <c r="D33" s="175">
        <f t="shared" si="4"/>
        <v>7.731987436924008E-2</v>
      </c>
      <c r="E33" s="175">
        <f t="shared" si="5"/>
        <v>1.7767135950156304E-2</v>
      </c>
      <c r="F33" s="175">
        <f t="shared" si="6"/>
        <v>0.70055351277635347</v>
      </c>
      <c r="G33" s="175">
        <f t="shared" si="7"/>
        <v>8.6172061227399663E-3</v>
      </c>
      <c r="H33" s="175">
        <f t="shared" si="8"/>
        <v>0.10256707406177794</v>
      </c>
      <c r="I33" s="174">
        <f t="shared" si="9"/>
        <v>8.2765494184586119E-2</v>
      </c>
      <c r="J33" s="4"/>
      <c r="K33" s="4"/>
      <c r="M33" s="337"/>
      <c r="N33" s="337"/>
      <c r="O33" s="337"/>
      <c r="P33" s="337"/>
      <c r="Q33" s="337"/>
      <c r="R33" s="337"/>
      <c r="S33" s="337"/>
      <c r="T33" s="337"/>
      <c r="U33" s="337"/>
    </row>
    <row r="34" spans="1:21" ht="17" thickBot="1" x14ac:dyDescent="0.25">
      <c r="A34" s="4"/>
      <c r="B34" s="99">
        <v>2030</v>
      </c>
      <c r="C34" s="175">
        <f t="shared" si="3"/>
        <v>6.8688413807423652E-3</v>
      </c>
      <c r="D34" s="175">
        <f t="shared" si="4"/>
        <v>8.7665402868216474E-2</v>
      </c>
      <c r="E34" s="175">
        <f t="shared" si="5"/>
        <v>3.3538297053279459E-2</v>
      </c>
      <c r="F34" s="175">
        <f t="shared" si="6"/>
        <v>0.59328111720279797</v>
      </c>
      <c r="G34" s="175">
        <f t="shared" si="7"/>
        <v>1.1992035167678165E-2</v>
      </c>
      <c r="H34" s="175">
        <f t="shared" si="8"/>
        <v>0.17645899616219862</v>
      </c>
      <c r="I34" s="174">
        <f t="shared" si="9"/>
        <v>9.0195310165086917E-2</v>
      </c>
      <c r="J34" s="4"/>
      <c r="K34" s="4"/>
      <c r="M34" s="337"/>
      <c r="N34" s="337"/>
      <c r="O34" s="337"/>
      <c r="P34" s="337"/>
      <c r="Q34" s="337"/>
      <c r="R34" s="337"/>
      <c r="S34" s="337"/>
      <c r="T34" s="337"/>
      <c r="U34" s="337"/>
    </row>
    <row r="35" spans="1:21" ht="17" thickBot="1" x14ac:dyDescent="0.25">
      <c r="A35" s="4"/>
      <c r="B35" s="99">
        <v>2035</v>
      </c>
      <c r="C35" s="175">
        <f t="shared" si="3"/>
        <v>8.0485279932794723E-3</v>
      </c>
      <c r="D35" s="175">
        <f t="shared" si="4"/>
        <v>6.2417651624408127E-2</v>
      </c>
      <c r="E35" s="175">
        <f t="shared" si="5"/>
        <v>3.1222398818488591E-2</v>
      </c>
      <c r="F35" s="175">
        <f t="shared" si="6"/>
        <v>0.55540107089534452</v>
      </c>
      <c r="G35" s="175">
        <f t="shared" si="7"/>
        <v>1.2215974162546163E-2</v>
      </c>
      <c r="H35" s="175">
        <f t="shared" si="8"/>
        <v>0.24286148358342605</v>
      </c>
      <c r="I35" s="174">
        <f t="shared" si="9"/>
        <v>8.7832892922506942E-2</v>
      </c>
      <c r="J35" s="4"/>
      <c r="K35" s="4"/>
      <c r="M35" s="337"/>
      <c r="N35" s="337"/>
      <c r="O35" s="337"/>
      <c r="P35" s="337"/>
      <c r="Q35" s="337"/>
      <c r="R35" s="337"/>
      <c r="S35" s="337"/>
      <c r="T35" s="337"/>
      <c r="U35" s="337"/>
    </row>
    <row r="36" spans="1:21" ht="17" thickBot="1" x14ac:dyDescent="0.25">
      <c r="A36" s="4"/>
      <c r="B36" s="99">
        <v>2040</v>
      </c>
      <c r="C36" s="175">
        <f t="shared" si="3"/>
        <v>1.4437710409532884E-2</v>
      </c>
      <c r="D36" s="175">
        <f t="shared" si="4"/>
        <v>4.5148900467311064E-2</v>
      </c>
      <c r="E36" s="175">
        <f t="shared" si="5"/>
        <v>2.8932134346918253E-2</v>
      </c>
      <c r="F36" s="175">
        <f t="shared" si="6"/>
        <v>0.52063308136039144</v>
      </c>
      <c r="G36" s="175">
        <f t="shared" si="7"/>
        <v>1.2294741062710918E-2</v>
      </c>
      <c r="H36" s="175">
        <f t="shared" si="8"/>
        <v>0.2919964747615057</v>
      </c>
      <c r="I36" s="174">
        <f t="shared" si="9"/>
        <v>8.6556957591629666E-2</v>
      </c>
      <c r="J36" s="4"/>
      <c r="K36" s="4"/>
      <c r="M36" s="337"/>
      <c r="N36" s="337"/>
      <c r="O36" s="337"/>
      <c r="P36" s="337"/>
      <c r="Q36" s="337"/>
      <c r="R36" s="337"/>
      <c r="S36" s="337"/>
      <c r="T36" s="337"/>
      <c r="U36" s="337"/>
    </row>
    <row r="37" spans="1:21" ht="17" thickBot="1" x14ac:dyDescent="0.25">
      <c r="A37" s="4"/>
      <c r="B37" s="99">
        <v>2045</v>
      </c>
      <c r="C37" s="175">
        <f t="shared" si="3"/>
        <v>4.5452715545697912E-3</v>
      </c>
      <c r="D37" s="175">
        <f t="shared" si="4"/>
        <v>3.4201741236822944E-2</v>
      </c>
      <c r="E37" s="175">
        <f t="shared" si="5"/>
        <v>2.2105623218021602E-2</v>
      </c>
      <c r="F37" s="175">
        <f t="shared" si="6"/>
        <v>0.52226771660392979</v>
      </c>
      <c r="G37" s="175">
        <f t="shared" si="7"/>
        <v>1.3005716584615939E-2</v>
      </c>
      <c r="H37" s="175">
        <f t="shared" si="8"/>
        <v>0.31596377520359098</v>
      </c>
      <c r="I37" s="174">
        <f t="shared" si="9"/>
        <v>8.7910155598448961E-2</v>
      </c>
      <c r="J37" s="4"/>
      <c r="K37" s="4"/>
      <c r="M37" s="337"/>
      <c r="N37" s="337"/>
      <c r="O37" s="337"/>
      <c r="P37" s="337"/>
      <c r="Q37" s="337"/>
      <c r="R37" s="337"/>
      <c r="S37" s="337"/>
      <c r="T37" s="337"/>
      <c r="U37" s="337"/>
    </row>
    <row r="38" spans="1:21" ht="17" thickBot="1" x14ac:dyDescent="0.25">
      <c r="A38" s="4"/>
      <c r="B38" s="98">
        <v>2050</v>
      </c>
      <c r="C38" s="175">
        <f t="shared" si="3"/>
        <v>4.3617453464160844E-3</v>
      </c>
      <c r="D38" s="175">
        <f t="shared" si="4"/>
        <v>3.2820764147536034E-2</v>
      </c>
      <c r="E38" s="175">
        <f t="shared" si="5"/>
        <v>2.1213055819270871E-2</v>
      </c>
      <c r="F38" s="175">
        <f t="shared" si="6"/>
        <v>0.52452304075166789</v>
      </c>
      <c r="G38" s="175">
        <f t="shared" si="7"/>
        <v>1.3397463525620512E-2</v>
      </c>
      <c r="H38" s="175">
        <f t="shared" si="8"/>
        <v>0.3157822603458732</v>
      </c>
      <c r="I38" s="174">
        <f t="shared" si="9"/>
        <v>8.7901670063615267E-2</v>
      </c>
      <c r="J38" s="4"/>
      <c r="K38" s="4"/>
      <c r="M38" s="337"/>
      <c r="N38" s="337"/>
      <c r="O38" s="337"/>
      <c r="P38" s="337"/>
      <c r="Q38" s="337"/>
      <c r="R38" s="337"/>
      <c r="S38" s="337"/>
      <c r="T38" s="337"/>
      <c r="U38" s="337"/>
    </row>
    <row r="39" spans="1:21" ht="17" thickBot="1" x14ac:dyDescent="0.25">
      <c r="A39" s="4"/>
      <c r="B39" s="226"/>
      <c r="C39" s="225"/>
      <c r="D39" s="225"/>
      <c r="E39" s="225"/>
      <c r="F39" s="225"/>
      <c r="G39" s="225"/>
      <c r="H39" s="225"/>
      <c r="I39" s="224"/>
      <c r="J39" s="4"/>
      <c r="K39" s="4"/>
      <c r="M39" s="337"/>
      <c r="N39" s="337"/>
      <c r="O39" s="337"/>
      <c r="P39" s="337"/>
      <c r="Q39" s="337"/>
      <c r="R39" s="337"/>
      <c r="S39" s="337"/>
      <c r="T39" s="337"/>
      <c r="U39" s="337"/>
    </row>
    <row r="40" spans="1:21" ht="17" thickBo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M40" s="337"/>
      <c r="N40" s="337"/>
      <c r="O40" s="337"/>
      <c r="P40" s="337"/>
      <c r="Q40" s="337"/>
      <c r="R40" s="337"/>
      <c r="S40" s="337"/>
      <c r="T40" s="337"/>
      <c r="U40" s="337"/>
    </row>
    <row r="41" spans="1:2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M41" s="337"/>
      <c r="N41" s="337"/>
      <c r="O41" s="337"/>
      <c r="P41" s="337"/>
      <c r="Q41" s="337"/>
      <c r="R41" s="337"/>
      <c r="S41" s="337"/>
      <c r="T41" s="337"/>
      <c r="U41" s="337"/>
    </row>
    <row r="42" spans="1:21" ht="19" x14ac:dyDescent="0.2">
      <c r="A42" s="4"/>
      <c r="B42" s="331" t="s">
        <v>591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</row>
    <row r="43" spans="1:21" x14ac:dyDescent="0.2">
      <c r="A43" s="4"/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</row>
    <row r="44" spans="1:21" x14ac:dyDescent="0.2">
      <c r="A44" s="4"/>
      <c r="B44" s="189"/>
      <c r="C44" s="158"/>
      <c r="D44" s="158"/>
      <c r="E44" s="158"/>
      <c r="F44" s="158"/>
      <c r="G44" s="158"/>
      <c r="H44" s="158"/>
      <c r="I44" s="220"/>
      <c r="J44" s="155"/>
      <c r="K44" s="151"/>
      <c r="L44" s="151"/>
    </row>
    <row r="45" spans="1:21" x14ac:dyDescent="0.2">
      <c r="A45" s="4"/>
      <c r="B45" s="99">
        <v>2020</v>
      </c>
      <c r="C45" s="158">
        <f t="shared" ref="C45:C51" si="10">C32*$J$8</f>
        <v>19.719344381803783</v>
      </c>
      <c r="D45" s="158">
        <f t="shared" ref="D45:D51" si="11">D32*$J$9</f>
        <v>44.510429772148314</v>
      </c>
      <c r="E45" s="158">
        <f t="shared" ref="E45:E51" si="12">E32*$J$4</f>
        <v>0.3793796531260189</v>
      </c>
      <c r="F45" s="158">
        <f t="shared" ref="F45:F51" si="13">F32*$J$7</f>
        <v>2.6405526172820104</v>
      </c>
      <c r="G45" s="158">
        <f t="shared" ref="G45:G51" si="14">G32*$J$5</f>
        <v>0.16098454113336971</v>
      </c>
      <c r="H45" s="158">
        <f t="shared" ref="H45:H51" si="15">H32*$J$6</f>
        <v>1.1386295670622528</v>
      </c>
      <c r="I45" s="219">
        <f t="shared" ref="I45:I51" si="16">I32*$J$10</f>
        <v>1.8370916913156714</v>
      </c>
      <c r="J45" s="155">
        <f t="shared" ref="J45:J51" si="17">SUM(C45:I45)</f>
        <v>70.386412223871432</v>
      </c>
      <c r="K45" s="155">
        <f>$J$8-J45</f>
        <v>930.61358777612861</v>
      </c>
      <c r="L45" s="155">
        <f t="shared" ref="L45:L51" si="18">K45/1011</f>
        <v>0.92048821738489472</v>
      </c>
    </row>
    <row r="46" spans="1:21" x14ac:dyDescent="0.2">
      <c r="A46" s="4"/>
      <c r="B46" s="99">
        <v>2025</v>
      </c>
      <c r="C46" s="158">
        <f t="shared" si="10"/>
        <v>10.420112237681284</v>
      </c>
      <c r="D46" s="158">
        <f t="shared" si="11"/>
        <v>36.263021079173598</v>
      </c>
      <c r="E46" s="158">
        <f t="shared" si="12"/>
        <v>0.28427417520250087</v>
      </c>
      <c r="F46" s="158">
        <f t="shared" si="13"/>
        <v>2.8022140511054139</v>
      </c>
      <c r="G46" s="158">
        <f t="shared" si="14"/>
        <v>0.30160221429589884</v>
      </c>
      <c r="H46" s="158">
        <f t="shared" si="15"/>
        <v>1.2308048887413352</v>
      </c>
      <c r="I46" s="219">
        <f t="shared" si="16"/>
        <v>1.4897788953225501</v>
      </c>
      <c r="J46" s="155">
        <f t="shared" si="17"/>
        <v>52.791807541522573</v>
      </c>
      <c r="K46" s="155">
        <f t="shared" ref="K46:K51" si="19">$J$8-J46</f>
        <v>948.20819245847747</v>
      </c>
      <c r="L46" s="155">
        <f t="shared" si="18"/>
        <v>0.93789138719928533</v>
      </c>
    </row>
    <row r="47" spans="1:21" x14ac:dyDescent="0.2">
      <c r="A47" s="4"/>
      <c r="B47" s="99">
        <v>2030</v>
      </c>
      <c r="C47" s="158">
        <f t="shared" si="10"/>
        <v>6.8757102221231072</v>
      </c>
      <c r="D47" s="158">
        <f t="shared" si="11"/>
        <v>41.115073945193529</v>
      </c>
      <c r="E47" s="158">
        <f t="shared" si="12"/>
        <v>0.53661275285247134</v>
      </c>
      <c r="F47" s="158">
        <f t="shared" si="13"/>
        <v>2.3731244688111919</v>
      </c>
      <c r="G47" s="158">
        <f t="shared" si="14"/>
        <v>0.41972123086873575</v>
      </c>
      <c r="H47" s="158">
        <f t="shared" si="15"/>
        <v>2.1175079539463835</v>
      </c>
      <c r="I47" s="219">
        <f t="shared" si="16"/>
        <v>1.6235155829715646</v>
      </c>
      <c r="J47" s="155">
        <f t="shared" si="17"/>
        <v>55.061266156766983</v>
      </c>
      <c r="K47" s="155">
        <f t="shared" si="19"/>
        <v>945.93873384323297</v>
      </c>
      <c r="L47" s="155">
        <f t="shared" si="18"/>
        <v>0.93564662101209983</v>
      </c>
    </row>
    <row r="48" spans="1:21" x14ac:dyDescent="0.2">
      <c r="A48" s="4"/>
      <c r="B48" s="99">
        <v>2035</v>
      </c>
      <c r="C48" s="158">
        <f t="shared" si="10"/>
        <v>8.0565765212727509</v>
      </c>
      <c r="D48" s="158">
        <f t="shared" si="11"/>
        <v>29.273878611847412</v>
      </c>
      <c r="E48" s="158">
        <f t="shared" si="12"/>
        <v>0.49955838109581746</v>
      </c>
      <c r="F48" s="158">
        <f t="shared" si="13"/>
        <v>2.2216042835813781</v>
      </c>
      <c r="G48" s="158">
        <f t="shared" si="14"/>
        <v>0.42755909568911571</v>
      </c>
      <c r="H48" s="158">
        <f t="shared" si="15"/>
        <v>2.9143378030011124</v>
      </c>
      <c r="I48" s="219">
        <f t="shared" si="16"/>
        <v>1.580992072605125</v>
      </c>
      <c r="J48" s="155">
        <f t="shared" si="17"/>
        <v>44.974506769092706</v>
      </c>
      <c r="K48" s="155">
        <f t="shared" si="19"/>
        <v>956.02549323090727</v>
      </c>
      <c r="L48" s="155">
        <f t="shared" si="18"/>
        <v>0.94562363326499232</v>
      </c>
    </row>
    <row r="49" spans="1:12" x14ac:dyDescent="0.2">
      <c r="A49" s="4"/>
      <c r="B49" s="99">
        <v>2040</v>
      </c>
      <c r="C49" s="158">
        <f t="shared" si="10"/>
        <v>14.452148119942418</v>
      </c>
      <c r="D49" s="158">
        <f t="shared" si="11"/>
        <v>21.174834319168887</v>
      </c>
      <c r="E49" s="158">
        <f t="shared" si="12"/>
        <v>0.46291414955069204</v>
      </c>
      <c r="F49" s="158">
        <f t="shared" si="13"/>
        <v>2.0825323254415657</v>
      </c>
      <c r="G49" s="158">
        <f t="shared" si="14"/>
        <v>0.43031593719488215</v>
      </c>
      <c r="H49" s="158">
        <f t="shared" si="15"/>
        <v>3.5039576971380684</v>
      </c>
      <c r="I49" s="219">
        <f t="shared" si="16"/>
        <v>1.5580252366493339</v>
      </c>
      <c r="J49" s="155">
        <f t="shared" si="17"/>
        <v>43.664727785085852</v>
      </c>
      <c r="K49" s="155">
        <f t="shared" si="19"/>
        <v>957.3352722149142</v>
      </c>
      <c r="L49" s="155">
        <f t="shared" si="18"/>
        <v>0.94691916143908428</v>
      </c>
    </row>
    <row r="50" spans="1:12" x14ac:dyDescent="0.2">
      <c r="A50" s="4"/>
      <c r="B50" s="99">
        <v>2045</v>
      </c>
      <c r="C50" s="158">
        <f t="shared" si="10"/>
        <v>4.5498168261243608</v>
      </c>
      <c r="D50" s="158">
        <f t="shared" si="11"/>
        <v>16.04061664006996</v>
      </c>
      <c r="E50" s="158">
        <f t="shared" si="12"/>
        <v>0.35368997148834563</v>
      </c>
      <c r="F50" s="158">
        <f t="shared" si="13"/>
        <v>2.0890708664157192</v>
      </c>
      <c r="G50" s="158">
        <f t="shared" si="14"/>
        <v>0.45520008046155791</v>
      </c>
      <c r="H50" s="158">
        <f t="shared" si="15"/>
        <v>3.7915653024430918</v>
      </c>
      <c r="I50" s="219">
        <f t="shared" si="16"/>
        <v>1.5823828007720813</v>
      </c>
      <c r="J50" s="155">
        <f t="shared" si="17"/>
        <v>28.86234248777512</v>
      </c>
      <c r="K50" s="155">
        <f t="shared" si="19"/>
        <v>972.13765751222491</v>
      </c>
      <c r="L50" s="155">
        <f t="shared" si="18"/>
        <v>0.96156049209913441</v>
      </c>
    </row>
    <row r="51" spans="1:12" x14ac:dyDescent="0.2">
      <c r="A51" s="4"/>
      <c r="B51" s="98">
        <v>2050</v>
      </c>
      <c r="C51" s="158">
        <f t="shared" si="10"/>
        <v>4.3661070917625002</v>
      </c>
      <c r="D51" s="158">
        <f t="shared" si="11"/>
        <v>15.3929383851944</v>
      </c>
      <c r="E51" s="158">
        <f t="shared" si="12"/>
        <v>0.33940889310833394</v>
      </c>
      <c r="F51" s="158">
        <f t="shared" si="13"/>
        <v>2.0980921630066716</v>
      </c>
      <c r="G51" s="158">
        <f t="shared" si="14"/>
        <v>0.46891122339671792</v>
      </c>
      <c r="H51" s="158">
        <f t="shared" si="15"/>
        <v>3.7893871241504784</v>
      </c>
      <c r="I51" s="219">
        <f t="shared" si="16"/>
        <v>1.5822300611450748</v>
      </c>
      <c r="J51" s="155">
        <f t="shared" si="17"/>
        <v>28.037074941764178</v>
      </c>
      <c r="K51" s="155">
        <f t="shared" si="19"/>
        <v>972.96292505823578</v>
      </c>
      <c r="L51" s="155">
        <f t="shared" si="18"/>
        <v>0.96237678047303243</v>
      </c>
    </row>
    <row r="52" spans="1:12" x14ac:dyDescent="0.2">
      <c r="A52" s="4"/>
      <c r="B52" s="226"/>
      <c r="C52" s="225"/>
      <c r="D52" s="225"/>
      <c r="E52" s="225"/>
      <c r="F52" s="225"/>
      <c r="G52" s="225"/>
      <c r="H52" s="225"/>
      <c r="I52" s="224"/>
      <c r="J52" s="151"/>
      <c r="K52" s="151"/>
      <c r="L52" s="151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1:12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2" ht="19" x14ac:dyDescent="0.2">
      <c r="A55" s="4"/>
      <c r="B55" s="330"/>
      <c r="C55" s="330"/>
      <c r="D55" s="330"/>
      <c r="E55" s="330"/>
      <c r="F55" s="330"/>
      <c r="G55" s="330"/>
      <c r="H55" s="330"/>
      <c r="I55" s="330"/>
      <c r="J55" s="4"/>
      <c r="K55" s="4"/>
    </row>
    <row r="56" spans="1:12" x14ac:dyDescent="0.2">
      <c r="A56" s="4"/>
      <c r="B56" s="247"/>
      <c r="C56" s="147"/>
      <c r="D56" s="147"/>
      <c r="E56" s="147"/>
      <c r="F56" s="147"/>
      <c r="G56" s="147"/>
      <c r="H56" s="147"/>
      <c r="I56" s="147"/>
      <c r="J56" s="4"/>
      <c r="K56" s="4"/>
    </row>
    <row r="57" spans="1:12" x14ac:dyDescent="0.2">
      <c r="A57" s="4"/>
      <c r="B57" s="247"/>
      <c r="C57" s="145"/>
      <c r="D57" s="145"/>
      <c r="E57" s="145"/>
      <c r="F57" s="145"/>
      <c r="G57" s="145"/>
      <c r="H57" s="145"/>
      <c r="I57" s="145"/>
      <c r="J57" s="223"/>
      <c r="K57" s="4"/>
    </row>
    <row r="58" spans="1:12" x14ac:dyDescent="0.2">
      <c r="A58" s="4"/>
      <c r="B58" s="247"/>
      <c r="C58" s="145"/>
      <c r="D58" s="145"/>
      <c r="E58" s="145"/>
      <c r="F58" s="145"/>
      <c r="G58" s="145"/>
      <c r="H58" s="145"/>
      <c r="I58" s="145"/>
      <c r="J58" s="223"/>
      <c r="K58" s="4"/>
    </row>
    <row r="59" spans="1:12" x14ac:dyDescent="0.2">
      <c r="A59" s="4"/>
      <c r="B59" s="247"/>
      <c r="C59" s="145"/>
      <c r="D59" s="145"/>
      <c r="E59" s="145"/>
      <c r="F59" s="145"/>
      <c r="G59" s="145"/>
      <c r="H59" s="145"/>
      <c r="I59" s="145"/>
      <c r="J59" s="223"/>
      <c r="K59" s="4"/>
    </row>
    <row r="60" spans="1:12" x14ac:dyDescent="0.2">
      <c r="A60" s="4"/>
      <c r="B60" s="247"/>
      <c r="C60" s="145"/>
      <c r="D60" s="145"/>
      <c r="E60" s="145"/>
      <c r="F60" s="145"/>
      <c r="G60" s="145"/>
      <c r="H60" s="145"/>
      <c r="I60" s="145"/>
      <c r="J60" s="223"/>
      <c r="K60" s="4"/>
    </row>
    <row r="61" spans="1:12" x14ac:dyDescent="0.2">
      <c r="A61" s="4"/>
      <c r="B61" s="247"/>
      <c r="C61" s="145"/>
      <c r="D61" s="145"/>
      <c r="E61" s="145"/>
      <c r="F61" s="145"/>
      <c r="G61" s="145"/>
      <c r="H61" s="145"/>
      <c r="I61" s="145"/>
      <c r="J61" s="223"/>
      <c r="K61" s="4"/>
    </row>
    <row r="62" spans="1:12" x14ac:dyDescent="0.2">
      <c r="A62" s="4"/>
      <c r="B62" s="247"/>
      <c r="C62" s="222"/>
      <c r="D62" s="222"/>
      <c r="E62" s="222"/>
      <c r="F62" s="222"/>
      <c r="G62" s="222"/>
      <c r="H62" s="222"/>
      <c r="I62" s="222"/>
      <c r="J62" s="4"/>
      <c r="K62" s="4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1:12" x14ac:dyDescent="0.2"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2:11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  <c r="K65" s="4"/>
    </row>
    <row r="66" spans="2:11" x14ac:dyDescent="0.2">
      <c r="B66" s="147"/>
      <c r="C66" s="147"/>
      <c r="D66" s="147"/>
      <c r="E66" s="147"/>
      <c r="F66" s="147"/>
      <c r="G66" s="147"/>
      <c r="H66" s="147"/>
      <c r="I66" s="147"/>
      <c r="J66" s="218"/>
      <c r="K66" s="4"/>
    </row>
    <row r="67" spans="2:11" x14ac:dyDescent="0.2">
      <c r="B67" s="218"/>
      <c r="C67" s="145"/>
      <c r="D67" s="145"/>
      <c r="E67" s="145"/>
      <c r="F67" s="145"/>
      <c r="G67" s="145"/>
      <c r="H67" s="145"/>
      <c r="I67" s="145"/>
      <c r="J67" s="145"/>
      <c r="K67" s="4"/>
    </row>
    <row r="68" spans="2:11" x14ac:dyDescent="0.2">
      <c r="B68" s="218"/>
      <c r="C68" s="145"/>
      <c r="D68" s="145"/>
      <c r="E68" s="145"/>
      <c r="F68" s="145"/>
      <c r="G68" s="145"/>
      <c r="H68" s="145"/>
      <c r="I68" s="145"/>
      <c r="J68" s="145"/>
      <c r="K68" s="4"/>
    </row>
    <row r="69" spans="2:11" x14ac:dyDescent="0.2">
      <c r="B69" s="218"/>
      <c r="C69" s="145"/>
      <c r="D69" s="145"/>
      <c r="E69" s="145"/>
      <c r="F69" s="145"/>
      <c r="G69" s="145"/>
      <c r="H69" s="145"/>
      <c r="I69" s="145"/>
      <c r="J69" s="145"/>
      <c r="K69" s="4"/>
    </row>
    <row r="70" spans="2:11" x14ac:dyDescent="0.2">
      <c r="B70" s="218"/>
      <c r="C70" s="145"/>
      <c r="D70" s="145"/>
      <c r="E70" s="145"/>
      <c r="F70" s="145"/>
      <c r="G70" s="145"/>
      <c r="H70" s="145"/>
      <c r="I70" s="145"/>
      <c r="J70" s="145"/>
      <c r="K70" s="4"/>
    </row>
    <row r="71" spans="2:11" x14ac:dyDescent="0.2">
      <c r="B71" s="218"/>
      <c r="C71" s="145"/>
      <c r="D71" s="145"/>
      <c r="E71" s="145"/>
      <c r="F71" s="145"/>
      <c r="G71" s="145"/>
      <c r="H71" s="145"/>
      <c r="I71" s="145"/>
      <c r="J71" s="145"/>
      <c r="K71" s="4"/>
    </row>
    <row r="72" spans="2:11" x14ac:dyDescent="0.2">
      <c r="B72" s="222"/>
      <c r="C72" s="222"/>
      <c r="D72" s="222"/>
      <c r="E72" s="222"/>
      <c r="F72" s="222"/>
      <c r="G72" s="222"/>
      <c r="H72" s="222"/>
      <c r="I72" s="222"/>
      <c r="J72" s="218"/>
      <c r="K72" s="4"/>
    </row>
  </sheetData>
  <mergeCells count="10">
    <mergeCell ref="B2:I2"/>
    <mergeCell ref="B65:I65"/>
    <mergeCell ref="M31:U41"/>
    <mergeCell ref="B17:I17"/>
    <mergeCell ref="B29:I29"/>
    <mergeCell ref="B42:I42"/>
    <mergeCell ref="B55:I55"/>
    <mergeCell ref="J42:J43"/>
    <mergeCell ref="K42:K43"/>
    <mergeCell ref="L42:L4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FAB76-51B3-432F-B92F-91272FC90114}">
  <sheetPr>
    <tabColor theme="6"/>
  </sheetPr>
  <dimension ref="A1:U72"/>
  <sheetViews>
    <sheetView topLeftCell="I1" workbookViewId="0">
      <selection activeCell="J4" sqref="J4:J10"/>
    </sheetView>
  </sheetViews>
  <sheetFormatPr baseColWidth="10" defaultColWidth="11" defaultRowHeight="16" x14ac:dyDescent="0.2"/>
  <cols>
    <col min="5" max="5" width="12.5" customWidth="1"/>
    <col min="10" max="10" width="13.33203125" customWidth="1"/>
  </cols>
  <sheetData>
    <row r="1" spans="1:11" x14ac:dyDescent="0.2">
      <c r="A1" s="4" t="s">
        <v>600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68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35" t="s">
        <v>527</v>
      </c>
      <c r="J3" s="39" t="s">
        <v>460</v>
      </c>
      <c r="K3" s="213"/>
    </row>
    <row r="4" spans="1:11" x14ac:dyDescent="0.2">
      <c r="A4" s="4"/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A5" s="4"/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A6" s="4"/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A7" s="4"/>
      <c r="B7" s="209">
        <f>BRAZIL!J8</f>
        <v>1001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A8" s="4"/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A9" s="4"/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A10" s="4"/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A12" s="4"/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20" ht="19" x14ac:dyDescent="0.2">
      <c r="A17" s="4"/>
      <c r="B17" s="331" t="s">
        <v>599</v>
      </c>
      <c r="C17" s="332"/>
      <c r="D17" s="332"/>
      <c r="E17" s="332"/>
      <c r="F17" s="332"/>
      <c r="G17" s="332"/>
      <c r="H17" s="332"/>
      <c r="I17" s="332"/>
      <c r="J17" s="191"/>
      <c r="K17" s="4"/>
      <c r="L17" s="166" t="s">
        <v>551</v>
      </c>
      <c r="T17" s="165"/>
    </row>
    <row r="18" spans="1:20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80" t="s">
        <v>520</v>
      </c>
      <c r="J18" s="182" t="s">
        <v>463</v>
      </c>
      <c r="K18" s="4"/>
      <c r="L18" s="166" t="s">
        <v>550</v>
      </c>
      <c r="T18" s="165"/>
    </row>
    <row r="19" spans="1:20" x14ac:dyDescent="0.2">
      <c r="A19" s="4"/>
      <c r="B19" s="189"/>
      <c r="C19" s="188"/>
      <c r="D19" s="188"/>
      <c r="E19" s="188"/>
      <c r="F19" s="188"/>
      <c r="G19" s="188"/>
      <c r="H19" s="188"/>
      <c r="I19" s="188"/>
      <c r="J19" s="182"/>
      <c r="K19" s="4"/>
      <c r="T19" s="165"/>
    </row>
    <row r="20" spans="1:20" x14ac:dyDescent="0.2">
      <c r="A20" s="4"/>
      <c r="B20" s="99">
        <v>2020</v>
      </c>
      <c r="C20" s="184">
        <f>M25/1000</f>
        <v>1.808247846465388E-2</v>
      </c>
      <c r="D20" s="184">
        <f>M24/1000</f>
        <v>0.1636251360597348</v>
      </c>
      <c r="E20" s="184">
        <f>M26/1000</f>
        <v>1.2150190080828389E-2</v>
      </c>
      <c r="F20" s="184">
        <f>M28/1000</f>
        <v>0.23440418148947401</v>
      </c>
      <c r="G20" s="184">
        <f>M31/1000</f>
        <v>3.4096371877903498E-3</v>
      </c>
      <c r="H20" s="184">
        <f>M29/1000</f>
        <v>7.0499160392766998E-3</v>
      </c>
      <c r="I20" s="184">
        <f>(M23+M30+M32)/1000</f>
        <v>3.6384503948632602E-2</v>
      </c>
      <c r="J20" s="182">
        <f t="shared" ref="J20:J26" si="2">SUM(C20:I20)</f>
        <v>0.47510604327039074</v>
      </c>
      <c r="K20" s="4"/>
      <c r="L20" s="169" t="s">
        <v>598</v>
      </c>
      <c r="T20" s="165"/>
    </row>
    <row r="21" spans="1:20" x14ac:dyDescent="0.2">
      <c r="A21" s="4"/>
      <c r="B21" s="99">
        <v>2025</v>
      </c>
      <c r="C21" s="184">
        <f>N25/1000</f>
        <v>1.465347135123039E-2</v>
      </c>
      <c r="D21" s="184">
        <f>N24/1000</f>
        <v>0.1517213895668558</v>
      </c>
      <c r="E21" s="184">
        <f>N26/1000</f>
        <v>1.229483520083819E-2</v>
      </c>
      <c r="F21" s="184">
        <f>N28/1000</f>
        <v>0.28447857840824203</v>
      </c>
      <c r="G21" s="184">
        <f>N31/1000</f>
        <v>5.3201008892865493E-3</v>
      </c>
      <c r="H21" s="184">
        <f>N29/1000</f>
        <v>1.15528408572138E-2</v>
      </c>
      <c r="I21" s="184">
        <f>(N23+N30+N32)/1000</f>
        <v>3.7832072095948577E-2</v>
      </c>
      <c r="J21" s="182">
        <f t="shared" si="2"/>
        <v>0.51785328836961531</v>
      </c>
      <c r="K21" s="4"/>
      <c r="L21" s="166" t="s">
        <v>544</v>
      </c>
      <c r="T21" s="165"/>
    </row>
    <row r="22" spans="1:20" ht="19" customHeight="1" thickBot="1" x14ac:dyDescent="0.25">
      <c r="A22" s="4"/>
      <c r="B22" s="99">
        <v>2030</v>
      </c>
      <c r="C22" s="184">
        <f>O25/1000</f>
        <v>1.1224493543362491E-2</v>
      </c>
      <c r="D22" s="184">
        <f>O24/1000</f>
        <v>0.1354797807727629</v>
      </c>
      <c r="E22" s="184">
        <f>O26/1000</f>
        <v>1.771902720120799E-2</v>
      </c>
      <c r="F22" s="184">
        <f>O28/1000</f>
        <v>0.32592440714493498</v>
      </c>
      <c r="G22" s="184">
        <f>O31/1000</f>
        <v>7.1701359061051104E-3</v>
      </c>
      <c r="H22" s="184">
        <f>O29/1000</f>
        <v>2.23346211420495E-2</v>
      </c>
      <c r="I22" s="250">
        <f>(O23+O30+O32)/1000</f>
        <v>2.260306601405461E-2</v>
      </c>
      <c r="J22" s="182">
        <f t="shared" si="2"/>
        <v>0.54245553172447758</v>
      </c>
      <c r="K22" s="4"/>
      <c r="L22" s="160" t="s">
        <v>543</v>
      </c>
      <c r="M22" s="160">
        <v>2020</v>
      </c>
      <c r="N22" s="160">
        <v>2025</v>
      </c>
      <c r="O22" s="160">
        <v>2030</v>
      </c>
      <c r="P22" s="160">
        <v>2035</v>
      </c>
      <c r="Q22" s="160">
        <v>2040</v>
      </c>
      <c r="R22" s="160">
        <v>2045</v>
      </c>
      <c r="S22" s="160">
        <v>2050</v>
      </c>
      <c r="T22" s="159" t="s">
        <v>542</v>
      </c>
    </row>
    <row r="23" spans="1:20" ht="17" thickTop="1" x14ac:dyDescent="0.2">
      <c r="A23" s="4"/>
      <c r="B23" s="99">
        <v>2035</v>
      </c>
      <c r="C23" s="184">
        <f>P25/1000</f>
        <v>1.1197808587766691E-2</v>
      </c>
      <c r="D23" s="184">
        <f>P24/1000</f>
        <v>0.14708585571146982</v>
      </c>
      <c r="E23" s="184">
        <f>P26/1000</f>
        <v>1.526006016104039E-2</v>
      </c>
      <c r="F23" s="184">
        <f>P28/1000</f>
        <v>0.33592581540842503</v>
      </c>
      <c r="G23" s="184">
        <f>P31/1000</f>
        <v>1.4123681957541701E-2</v>
      </c>
      <c r="H23" s="184">
        <f>P29/1000</f>
        <v>2.6375779093864099E-2</v>
      </c>
      <c r="I23" s="250">
        <f>(P23+P30+P32)/1000</f>
        <v>2.1215376869649142E-2</v>
      </c>
      <c r="J23" s="182">
        <f t="shared" si="2"/>
        <v>0.57118437778975684</v>
      </c>
      <c r="K23" s="4"/>
      <c r="L23" s="150" t="s">
        <v>541</v>
      </c>
      <c r="M23" s="150">
        <v>22.79266673190731</v>
      </c>
      <c r="N23" s="150">
        <v>22.79260812079626</v>
      </c>
      <c r="O23" s="150">
        <v>4.9637721504070216</v>
      </c>
      <c r="P23" s="150">
        <v>0.17003083333333341</v>
      </c>
      <c r="Q23" s="150">
        <v>0.1640231944444448</v>
      </c>
      <c r="R23" s="150">
        <v>0.1580155555555538</v>
      </c>
      <c r="S23" s="150">
        <v>0.14632263888888919</v>
      </c>
      <c r="T23" s="149">
        <v>-15.48822703686715</v>
      </c>
    </row>
    <row r="24" spans="1:20" x14ac:dyDescent="0.2">
      <c r="B24" s="99">
        <v>2040</v>
      </c>
      <c r="C24" s="184">
        <f>Q25/1000</f>
        <v>2.8197581608773781E-2</v>
      </c>
      <c r="D24" s="184">
        <f>Q24/1000</f>
        <v>0.1379478485447248</v>
      </c>
      <c r="E24" s="184">
        <f>Q26/1000</f>
        <v>1.526006016104039E-2</v>
      </c>
      <c r="F24" s="184">
        <f>Q28/1000</f>
        <v>0.35154645893272402</v>
      </c>
      <c r="G24" s="184">
        <f>Q31/1000</f>
        <v>2.90619418588067E-2</v>
      </c>
      <c r="H24" s="184">
        <f>Q29/1000</f>
        <v>2.6430427492563999E-2</v>
      </c>
      <c r="I24" s="249">
        <f>(Q23+Q30+Q32)/1000</f>
        <v>2.204960031746421E-2</v>
      </c>
      <c r="J24" s="182">
        <f t="shared" si="2"/>
        <v>0.61049391891609783</v>
      </c>
      <c r="K24" s="4"/>
      <c r="L24" s="150" t="s">
        <v>540</v>
      </c>
      <c r="M24" s="150">
        <v>163.62513605973481</v>
      </c>
      <c r="N24" s="150">
        <v>151.72138956685581</v>
      </c>
      <c r="O24" s="150">
        <v>135.47978077276289</v>
      </c>
      <c r="P24" s="150">
        <v>147.0858557114698</v>
      </c>
      <c r="Q24" s="150">
        <v>137.94784854472479</v>
      </c>
      <c r="R24" s="150">
        <v>127.2252427326469</v>
      </c>
      <c r="S24" s="150">
        <v>127.2252427326478</v>
      </c>
      <c r="T24" s="149">
        <v>-0.83522239166448076</v>
      </c>
    </row>
    <row r="25" spans="1:20" x14ac:dyDescent="0.2">
      <c r="B25" s="99">
        <v>2045</v>
      </c>
      <c r="C25" s="184">
        <f>R25/1000</f>
        <v>2.8197581608773781E-2</v>
      </c>
      <c r="D25" s="184">
        <f>R24/1000</f>
        <v>0.1272252427326469</v>
      </c>
      <c r="E25" s="184">
        <f>S26/1000</f>
        <v>1.526006016104039E-2</v>
      </c>
      <c r="F25" s="184">
        <f>R28/1000</f>
        <v>0.38086079504224701</v>
      </c>
      <c r="G25" s="184">
        <f>R31/1000</f>
        <v>5.94796999702829E-2</v>
      </c>
      <c r="H25" s="184">
        <f>R29/1000</f>
        <v>2.6500139462952699E-2</v>
      </c>
      <c r="I25" s="249">
        <f>(R23+R30+R32)/1000</f>
        <v>2.3115429475799702E-2</v>
      </c>
      <c r="J25" s="182">
        <f t="shared" si="2"/>
        <v>0.66063894845374338</v>
      </c>
      <c r="K25" s="4"/>
      <c r="L25" s="150" t="s">
        <v>446</v>
      </c>
      <c r="M25" s="150">
        <v>18.082478464653882</v>
      </c>
      <c r="N25" s="150">
        <v>14.65347135123039</v>
      </c>
      <c r="O25" s="150">
        <v>11.22449354336249</v>
      </c>
      <c r="P25" s="150">
        <v>11.197808587766691</v>
      </c>
      <c r="Q25" s="150">
        <v>28.197581608773781</v>
      </c>
      <c r="R25" s="150">
        <v>28.197581608773781</v>
      </c>
      <c r="S25" s="150">
        <v>12.57306044304519</v>
      </c>
      <c r="T25" s="149">
        <v>-1.2039832946121209</v>
      </c>
    </row>
    <row r="26" spans="1:20" x14ac:dyDescent="0.2">
      <c r="B26" s="98">
        <v>2050</v>
      </c>
      <c r="C26" s="180">
        <f>S25/1000</f>
        <v>1.257306044304519E-2</v>
      </c>
      <c r="D26" s="180">
        <f>S24/1000</f>
        <v>0.12722524273264779</v>
      </c>
      <c r="E26" s="180">
        <f>S26/1000</f>
        <v>1.526006016104039E-2</v>
      </c>
      <c r="F26" s="180">
        <f>S28/1000</f>
        <v>0.41488529702168697</v>
      </c>
      <c r="G26" s="180">
        <f>S31/1000</f>
        <v>9.1858982163449204E-2</v>
      </c>
      <c r="H26" s="180">
        <f>S29/1000</f>
        <v>2.6636220959455698E-2</v>
      </c>
      <c r="I26" s="180">
        <f>(S23+S30+S32)/1000</f>
        <v>2.4215553496994349E-2</v>
      </c>
      <c r="J26" s="182">
        <f t="shared" si="2"/>
        <v>0.71265441697831966</v>
      </c>
      <c r="K26" s="4"/>
      <c r="L26" s="150" t="s">
        <v>454</v>
      </c>
      <c r="M26" s="150">
        <v>12.15019008082839</v>
      </c>
      <c r="N26" s="150">
        <v>12.29483520083819</v>
      </c>
      <c r="O26" s="150">
        <v>17.719027201207989</v>
      </c>
      <c r="P26" s="150">
        <v>15.260060161040389</v>
      </c>
      <c r="Q26" s="150">
        <v>15.260060161040389</v>
      </c>
      <c r="R26" s="150">
        <v>15.260060161040389</v>
      </c>
      <c r="S26" s="150">
        <v>15.260060161040389</v>
      </c>
      <c r="T26" s="149">
        <v>0.76253981941312166</v>
      </c>
    </row>
    <row r="27" spans="1:20" x14ac:dyDescent="0.2">
      <c r="L27" s="150" t="s">
        <v>539</v>
      </c>
      <c r="M27" s="150">
        <v>258.4555719332663</v>
      </c>
      <c r="N27" s="150">
        <v>316.39098412989472</v>
      </c>
      <c r="O27" s="150">
        <v>373.0684580567372</v>
      </c>
      <c r="P27" s="150">
        <v>397.47062249614658</v>
      </c>
      <c r="Q27" s="150">
        <v>428.92440540711442</v>
      </c>
      <c r="R27" s="150">
        <v>489.79804839572682</v>
      </c>
      <c r="S27" s="150">
        <v>557.44973100269738</v>
      </c>
      <c r="T27" s="149">
        <v>2.5952672318972909</v>
      </c>
    </row>
    <row r="28" spans="1:20" x14ac:dyDescent="0.2">
      <c r="L28" s="150" t="s">
        <v>538</v>
      </c>
      <c r="M28" s="150">
        <v>234.40418148947401</v>
      </c>
      <c r="N28" s="150">
        <v>284.47857840824202</v>
      </c>
      <c r="O28" s="150">
        <v>325.924407144935</v>
      </c>
      <c r="P28" s="150">
        <v>335.92581540842502</v>
      </c>
      <c r="Q28" s="150">
        <v>351.54645893272402</v>
      </c>
      <c r="R28" s="150">
        <v>380.86079504224699</v>
      </c>
      <c r="S28" s="150">
        <v>414.88529702168699</v>
      </c>
      <c r="T28" s="149">
        <v>1.921409962786802</v>
      </c>
    </row>
    <row r="29" spans="1:20" ht="19" x14ac:dyDescent="0.2">
      <c r="B29" s="331" t="s">
        <v>597</v>
      </c>
      <c r="C29" s="332"/>
      <c r="D29" s="332"/>
      <c r="E29" s="332"/>
      <c r="F29" s="332"/>
      <c r="G29" s="332"/>
      <c r="H29" s="332"/>
      <c r="I29" s="338"/>
      <c r="J29" s="4"/>
      <c r="L29" s="150" t="s">
        <v>537</v>
      </c>
      <c r="M29" s="150">
        <v>7.0499160392766997</v>
      </c>
      <c r="N29" s="150">
        <v>11.5528408572138</v>
      </c>
      <c r="O29" s="150">
        <v>22.3346211420495</v>
      </c>
      <c r="P29" s="150">
        <v>26.3757790938641</v>
      </c>
      <c r="Q29" s="150">
        <v>26.430427492564</v>
      </c>
      <c r="R29" s="150">
        <v>26.500139462952699</v>
      </c>
      <c r="S29" s="150">
        <v>26.636220959455699</v>
      </c>
      <c r="T29" s="149">
        <v>4.5304826008168986</v>
      </c>
    </row>
    <row r="30" spans="1:20" x14ac:dyDescent="0.2"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L30" s="150" t="s">
        <v>536</v>
      </c>
      <c r="M30" s="150">
        <v>3.613021239208364</v>
      </c>
      <c r="N30" s="150">
        <v>4.0884365117103041</v>
      </c>
      <c r="O30" s="150">
        <v>5.9786791344970762</v>
      </c>
      <c r="P30" s="150">
        <v>8.7981012040940989</v>
      </c>
      <c r="Q30" s="150">
        <v>8.7981673614823581</v>
      </c>
      <c r="R30" s="150">
        <v>8.7982517548406278</v>
      </c>
      <c r="S30" s="150">
        <v>8.7983392961206395</v>
      </c>
      <c r="T30" s="149">
        <v>3.01117469633938</v>
      </c>
    </row>
    <row r="31" spans="1:20" x14ac:dyDescent="0.2">
      <c r="B31" s="189"/>
      <c r="C31" s="175"/>
      <c r="D31" s="175"/>
      <c r="E31" s="175"/>
      <c r="F31" s="175"/>
      <c r="G31" s="175"/>
      <c r="H31" s="175"/>
      <c r="I31" s="174"/>
      <c r="J31" s="8"/>
      <c r="L31" s="150" t="s">
        <v>535</v>
      </c>
      <c r="M31" s="150">
        <v>3.40963718779035</v>
      </c>
      <c r="N31" s="150">
        <v>5.3201008892865493</v>
      </c>
      <c r="O31" s="150">
        <v>7.1701359061051102</v>
      </c>
      <c r="P31" s="150">
        <v>14.123681957541701</v>
      </c>
      <c r="Q31" s="150">
        <v>29.061941858806701</v>
      </c>
      <c r="R31" s="150">
        <v>59.479699970282901</v>
      </c>
      <c r="S31" s="150">
        <v>91.858982163449198</v>
      </c>
      <c r="T31" s="149">
        <v>11.60417685944712</v>
      </c>
    </row>
    <row r="32" spans="1:20" x14ac:dyDescent="0.2">
      <c r="B32" s="99">
        <v>2020</v>
      </c>
      <c r="C32" s="171">
        <f t="shared" ref="C32:C38" si="3">C20/J20</f>
        <v>3.8059878885528808E-2</v>
      </c>
      <c r="D32" s="171">
        <f t="shared" ref="D32:D38" si="4">D20/J20</f>
        <v>0.34439708435073096</v>
      </c>
      <c r="E32" s="171">
        <f t="shared" ref="E32:E38" si="5">E20/J20</f>
        <v>2.5573638249668639E-2</v>
      </c>
      <c r="F32" s="171">
        <f t="shared" ref="F32:F38" si="6">F20/J20</f>
        <v>0.49337234246896478</v>
      </c>
      <c r="G32" s="171">
        <f t="shared" ref="G32:G38" si="7">G20/J20</f>
        <v>7.1765813886940366E-3</v>
      </c>
      <c r="H32" s="171">
        <f t="shared" ref="H32:H38" si="8">H20/$J$6</f>
        <v>5.8749300327305828E-4</v>
      </c>
      <c r="I32" s="170">
        <f t="shared" ref="I32:I38" si="9">I20/$J$10</f>
        <v>2.0213613304795892E-3</v>
      </c>
      <c r="J32" s="4"/>
      <c r="L32" s="150" t="s">
        <v>534</v>
      </c>
      <c r="M32" s="150">
        <v>9.9788159775169198</v>
      </c>
      <c r="N32" s="150">
        <v>10.95102746344201</v>
      </c>
      <c r="O32" s="150">
        <v>11.66061472915051</v>
      </c>
      <c r="P32" s="150">
        <v>12.24724483222171</v>
      </c>
      <c r="Q32" s="150">
        <v>13.08740976153741</v>
      </c>
      <c r="R32" s="150">
        <v>14.15916216540352</v>
      </c>
      <c r="S32" s="150">
        <v>15.27089156198482</v>
      </c>
      <c r="T32" s="149">
        <v>1.428385511922192</v>
      </c>
    </row>
    <row r="33" spans="2:21" ht="17" thickBot="1" x14ac:dyDescent="0.25">
      <c r="B33" s="99">
        <v>2025</v>
      </c>
      <c r="C33" s="171">
        <f t="shared" si="3"/>
        <v>2.8296569086902361E-2</v>
      </c>
      <c r="D33" s="171">
        <f t="shared" si="4"/>
        <v>0.29298141572978753</v>
      </c>
      <c r="E33" s="171">
        <f t="shared" si="5"/>
        <v>2.3741927447340664E-2</v>
      </c>
      <c r="F33" s="171">
        <f t="shared" si="6"/>
        <v>0.54934203334670495</v>
      </c>
      <c r="G33" s="171">
        <f t="shared" si="7"/>
        <v>1.0273374735219123E-2</v>
      </c>
      <c r="H33" s="171">
        <f t="shared" si="8"/>
        <v>9.6273673810115003E-4</v>
      </c>
      <c r="I33" s="170">
        <f t="shared" si="9"/>
        <v>2.1017817831082541E-3</v>
      </c>
      <c r="J33" s="4"/>
      <c r="L33" s="150" t="s">
        <v>533</v>
      </c>
      <c r="M33" s="150">
        <v>475.10604327039061</v>
      </c>
      <c r="N33" s="150">
        <v>517.85328836961537</v>
      </c>
      <c r="O33" s="150">
        <v>542.45553172447751</v>
      </c>
      <c r="P33" s="150">
        <v>571.18437778975692</v>
      </c>
      <c r="Q33" s="150">
        <v>610.49391891609798</v>
      </c>
      <c r="R33" s="150">
        <v>660.6389484537433</v>
      </c>
      <c r="S33" s="150">
        <v>712.65441697831977</v>
      </c>
      <c r="T33" s="149">
        <v>1.360703053617573</v>
      </c>
    </row>
    <row r="34" spans="2:21" ht="17" customHeight="1" thickBot="1" x14ac:dyDescent="0.25">
      <c r="B34" s="99">
        <v>2030</v>
      </c>
      <c r="C34" s="171">
        <f t="shared" si="3"/>
        <v>2.0692006785661469E-2</v>
      </c>
      <c r="D34" s="171">
        <f t="shared" si="4"/>
        <v>0.24975278681751079</v>
      </c>
      <c r="E34" s="171">
        <f t="shared" si="5"/>
        <v>3.2664478772810791E-2</v>
      </c>
      <c r="F34" s="171">
        <f t="shared" si="6"/>
        <v>0.60083156698359108</v>
      </c>
      <c r="G34" s="171">
        <f t="shared" si="7"/>
        <v>1.3217923842183151E-2</v>
      </c>
      <c r="H34" s="171">
        <f t="shared" si="8"/>
        <v>1.861218428504125E-3</v>
      </c>
      <c r="I34" s="170">
        <f t="shared" si="9"/>
        <v>1.2557258896697006E-3</v>
      </c>
      <c r="J34" s="4"/>
      <c r="L34" s="146" t="s">
        <v>532</v>
      </c>
      <c r="M34" s="146"/>
      <c r="N34" s="146"/>
      <c r="O34" s="146"/>
      <c r="P34" s="146"/>
      <c r="Q34" s="146"/>
      <c r="R34" s="146"/>
      <c r="S34" s="146"/>
      <c r="T34" s="146"/>
    </row>
    <row r="35" spans="2:21" ht="17" thickBot="1" x14ac:dyDescent="0.25">
      <c r="B35" s="99">
        <v>2035</v>
      </c>
      <c r="C35" s="171">
        <f t="shared" si="3"/>
        <v>1.960454281172307E-2</v>
      </c>
      <c r="D35" s="171">
        <f t="shared" si="4"/>
        <v>0.25751029165158573</v>
      </c>
      <c r="E35" s="171">
        <f t="shared" si="5"/>
        <v>2.6716522290211087E-2</v>
      </c>
      <c r="F35" s="171">
        <f t="shared" si="6"/>
        <v>0.58812150414252673</v>
      </c>
      <c r="G35" s="171">
        <f t="shared" si="7"/>
        <v>2.4727010238260377E-2</v>
      </c>
      <c r="H35" s="171">
        <f t="shared" si="8"/>
        <v>2.1979815911553416E-3</v>
      </c>
      <c r="I35" s="170">
        <f t="shared" si="9"/>
        <v>1.1786320483138412E-3</v>
      </c>
      <c r="J35" s="4"/>
      <c r="L35" s="146"/>
      <c r="M35" s="146"/>
      <c r="N35" s="146"/>
      <c r="O35" s="146"/>
      <c r="P35" s="146"/>
      <c r="Q35" s="146"/>
      <c r="R35" s="146"/>
      <c r="S35" s="146"/>
      <c r="T35" s="146"/>
    </row>
    <row r="36" spans="2:21" ht="17" thickBot="1" x14ac:dyDescent="0.25">
      <c r="B36" s="99">
        <v>2040</v>
      </c>
      <c r="C36" s="171">
        <f t="shared" si="3"/>
        <v>4.6188144934903218E-2</v>
      </c>
      <c r="D36" s="171">
        <f t="shared" si="4"/>
        <v>0.2259610526336519</v>
      </c>
      <c r="E36" s="171">
        <f t="shared" si="5"/>
        <v>2.499625252309455E-2</v>
      </c>
      <c r="F36" s="171">
        <f t="shared" si="6"/>
        <v>0.57583941140130868</v>
      </c>
      <c r="G36" s="171">
        <f t="shared" si="7"/>
        <v>4.7603982543191849E-2</v>
      </c>
      <c r="H36" s="171">
        <f t="shared" si="8"/>
        <v>2.2025356243803333E-3</v>
      </c>
      <c r="I36" s="170">
        <f t="shared" si="9"/>
        <v>1.2249777954146783E-3</v>
      </c>
      <c r="J36" s="4"/>
      <c r="L36" s="146"/>
      <c r="M36" s="146"/>
      <c r="N36" s="146"/>
      <c r="O36" s="146"/>
      <c r="P36" s="146"/>
      <c r="Q36" s="146"/>
      <c r="R36" s="146"/>
      <c r="S36" s="146"/>
      <c r="T36" s="146"/>
    </row>
    <row r="37" spans="2:21" ht="17" thickBot="1" x14ac:dyDescent="0.25">
      <c r="B37" s="99">
        <v>2045</v>
      </c>
      <c r="C37" s="171">
        <f t="shared" si="3"/>
        <v>4.268228761681634E-2</v>
      </c>
      <c r="D37" s="171">
        <f t="shared" si="4"/>
        <v>0.19257908276589442</v>
      </c>
      <c r="E37" s="171">
        <f t="shared" si="5"/>
        <v>2.3098941103544199E-2</v>
      </c>
      <c r="F37" s="171">
        <f t="shared" si="6"/>
        <v>0.57650369529933054</v>
      </c>
      <c r="G37" s="171">
        <f t="shared" si="7"/>
        <v>9.0033595672035296E-2</v>
      </c>
      <c r="H37" s="171">
        <f t="shared" si="8"/>
        <v>2.2083449552460581E-3</v>
      </c>
      <c r="I37" s="170">
        <f t="shared" si="9"/>
        <v>1.2841905264333168E-3</v>
      </c>
      <c r="J37" s="4"/>
      <c r="L37" s="146"/>
      <c r="M37" s="146"/>
      <c r="N37" s="146"/>
      <c r="O37" s="146"/>
      <c r="P37" s="146"/>
      <c r="Q37" s="146"/>
      <c r="R37" s="146"/>
      <c r="S37" s="146"/>
      <c r="T37" s="146"/>
    </row>
    <row r="38" spans="2:21" ht="17" thickBot="1" x14ac:dyDescent="0.25">
      <c r="B38" s="98">
        <v>2050</v>
      </c>
      <c r="C38" s="171">
        <f t="shared" si="3"/>
        <v>1.7642577024015955E-2</v>
      </c>
      <c r="D38" s="171">
        <f t="shared" si="4"/>
        <v>0.17852305367317781</v>
      </c>
      <c r="E38" s="171">
        <f t="shared" si="5"/>
        <v>2.1412987553972643E-2</v>
      </c>
      <c r="F38" s="171">
        <f t="shared" si="6"/>
        <v>0.58216898280209295</v>
      </c>
      <c r="G38" s="171">
        <f t="shared" si="7"/>
        <v>0.12889695197980333</v>
      </c>
      <c r="H38" s="171">
        <f t="shared" si="8"/>
        <v>2.2196850799546413E-3</v>
      </c>
      <c r="I38" s="170">
        <f t="shared" si="9"/>
        <v>1.3453085276107972E-3</v>
      </c>
      <c r="J38" s="4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2:21" ht="17" thickBot="1" x14ac:dyDescent="0.25">
      <c r="B39" s="226"/>
      <c r="C39" s="225"/>
      <c r="D39" s="225"/>
      <c r="E39" s="225"/>
      <c r="F39" s="225"/>
      <c r="G39" s="225"/>
      <c r="H39" s="225"/>
      <c r="I39" s="224"/>
      <c r="J39" s="4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2:21" ht="17" thickBot="1" x14ac:dyDescent="0.25">
      <c r="B40" s="4"/>
      <c r="C40" s="4"/>
      <c r="D40" s="4"/>
      <c r="E40" s="4"/>
      <c r="F40" s="4"/>
      <c r="G40" s="4"/>
      <c r="H40" s="4"/>
      <c r="I40" s="4"/>
      <c r="J40" s="4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2:21" ht="17" thickBot="1" x14ac:dyDescent="0.25">
      <c r="B41" s="4"/>
      <c r="C41" s="4"/>
      <c r="D41" s="4"/>
      <c r="E41" s="4"/>
      <c r="F41" s="4"/>
      <c r="G41" s="4"/>
      <c r="H41" s="4"/>
      <c r="I41" s="4"/>
      <c r="J41" s="4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2:21" ht="20" thickBot="1" x14ac:dyDescent="0.25">
      <c r="B42" s="331" t="s">
        <v>596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2:21" ht="17" thickBot="1" x14ac:dyDescent="0.25"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2:21" x14ac:dyDescent="0.2">
      <c r="B44" s="189"/>
      <c r="C44" s="158"/>
      <c r="D44" s="158"/>
      <c r="E44" s="158"/>
      <c r="F44" s="158"/>
      <c r="G44" s="158"/>
      <c r="H44" s="158"/>
      <c r="I44" s="220"/>
      <c r="J44" s="155"/>
      <c r="K44" s="155"/>
      <c r="L44" s="151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2:21" x14ac:dyDescent="0.2">
      <c r="B45" s="99">
        <v>2020</v>
      </c>
      <c r="C45" s="158">
        <f t="shared" ref="C45:C51" si="10">C32*$J$8</f>
        <v>38.097938764414337</v>
      </c>
      <c r="D45" s="158">
        <f t="shared" ref="D45:D51" si="11">D32*$J$9</f>
        <v>161.52223256049282</v>
      </c>
      <c r="E45" s="158">
        <f t="shared" ref="E45:E51" si="12">E32*$J$4</f>
        <v>0.40917821199469823</v>
      </c>
      <c r="F45" s="158">
        <f t="shared" ref="F45:F51" si="13">F32*$J$7</f>
        <v>1.9734893698758591</v>
      </c>
      <c r="G45" s="158">
        <f t="shared" ref="G45:G51" si="14">G32*$J$5</f>
        <v>0.25118034860429128</v>
      </c>
      <c r="H45" s="158">
        <f t="shared" ref="H45:H51" si="15">H32*$J$6</f>
        <v>7.0499160392766998E-3</v>
      </c>
      <c r="I45" s="219">
        <f t="shared" ref="I45:I51" si="16">I32*$J$10</f>
        <v>3.6384503948632602E-2</v>
      </c>
      <c r="J45" s="155">
        <f t="shared" ref="J45:J51" si="17">SUM(C45:I45)</f>
        <v>202.29745367536992</v>
      </c>
      <c r="K45" s="155">
        <f>$J$8-J45</f>
        <v>798.70254632463002</v>
      </c>
      <c r="L45" s="155">
        <f t="shared" ref="L45:L51" si="18">K45/1011</f>
        <v>0.79001240981664689</v>
      </c>
      <c r="T45" s="165"/>
    </row>
    <row r="46" spans="2:21" x14ac:dyDescent="0.2">
      <c r="B46" s="99">
        <v>2025</v>
      </c>
      <c r="C46" s="158">
        <f t="shared" si="10"/>
        <v>28.324865655989264</v>
      </c>
      <c r="D46" s="158">
        <f t="shared" si="11"/>
        <v>137.40828397727034</v>
      </c>
      <c r="E46" s="158">
        <f t="shared" si="12"/>
        <v>0.37987083915745062</v>
      </c>
      <c r="F46" s="158">
        <f t="shared" si="13"/>
        <v>2.1973681333868198</v>
      </c>
      <c r="G46" s="158">
        <f t="shared" si="14"/>
        <v>0.35956811573266934</v>
      </c>
      <c r="H46" s="158">
        <f t="shared" si="15"/>
        <v>1.15528408572138E-2</v>
      </c>
      <c r="I46" s="219">
        <f t="shared" si="16"/>
        <v>3.7832072095948577E-2</v>
      </c>
      <c r="J46" s="155">
        <f t="shared" si="17"/>
        <v>168.71934163448969</v>
      </c>
      <c r="K46" s="155">
        <f t="shared" ref="K46:K51" si="19">$J$8-J46</f>
        <v>832.28065836551036</v>
      </c>
      <c r="L46" s="155">
        <f t="shared" si="18"/>
        <v>0.82322518137043554</v>
      </c>
      <c r="T46" s="165"/>
    </row>
    <row r="47" spans="2:21" x14ac:dyDescent="0.2">
      <c r="B47" s="99">
        <v>2030</v>
      </c>
      <c r="C47" s="158">
        <f t="shared" si="10"/>
        <v>20.712698792447132</v>
      </c>
      <c r="D47" s="158">
        <f t="shared" si="11"/>
        <v>117.13405701741256</v>
      </c>
      <c r="E47" s="158">
        <f t="shared" si="12"/>
        <v>0.52263166036497266</v>
      </c>
      <c r="F47" s="158">
        <f t="shared" si="13"/>
        <v>2.4033262679343643</v>
      </c>
      <c r="G47" s="158">
        <f t="shared" si="14"/>
        <v>0.4626273344764103</v>
      </c>
      <c r="H47" s="158">
        <f t="shared" si="15"/>
        <v>2.23346211420495E-2</v>
      </c>
      <c r="I47" s="219">
        <f t="shared" si="16"/>
        <v>2.260306601405461E-2</v>
      </c>
      <c r="J47" s="155">
        <f t="shared" si="17"/>
        <v>141.28027875979157</v>
      </c>
      <c r="K47" s="155">
        <f t="shared" si="19"/>
        <v>859.7197212402084</v>
      </c>
      <c r="L47" s="155">
        <f t="shared" si="18"/>
        <v>0.85036569855609134</v>
      </c>
      <c r="T47" s="165"/>
    </row>
    <row r="48" spans="2:21" x14ac:dyDescent="0.2">
      <c r="B48" s="99">
        <v>2035</v>
      </c>
      <c r="C48" s="158">
        <f t="shared" si="10"/>
        <v>19.624147354534792</v>
      </c>
      <c r="D48" s="158">
        <f t="shared" si="11"/>
        <v>120.7723267845937</v>
      </c>
      <c r="E48" s="158">
        <f t="shared" si="12"/>
        <v>0.4274643566433774</v>
      </c>
      <c r="F48" s="158">
        <f t="shared" si="13"/>
        <v>2.3524860165701069</v>
      </c>
      <c r="G48" s="158">
        <f t="shared" si="14"/>
        <v>0.86544535833911318</v>
      </c>
      <c r="H48" s="158">
        <f t="shared" si="15"/>
        <v>2.6375779093864099E-2</v>
      </c>
      <c r="I48" s="219">
        <f t="shared" si="16"/>
        <v>2.1215376869649142E-2</v>
      </c>
      <c r="J48" s="155">
        <f t="shared" si="17"/>
        <v>144.08946102664461</v>
      </c>
      <c r="K48" s="155">
        <f t="shared" si="19"/>
        <v>856.91053897335541</v>
      </c>
      <c r="L48" s="155">
        <f t="shared" si="18"/>
        <v>0.84758708108145941</v>
      </c>
      <c r="T48" s="165"/>
    </row>
    <row r="49" spans="2:12" x14ac:dyDescent="0.2">
      <c r="B49" s="99">
        <v>2040</v>
      </c>
      <c r="C49" s="158">
        <f t="shared" si="10"/>
        <v>46.234333079838123</v>
      </c>
      <c r="D49" s="158">
        <f t="shared" si="11"/>
        <v>105.97573368518275</v>
      </c>
      <c r="E49" s="158">
        <f t="shared" si="12"/>
        <v>0.39994004036951281</v>
      </c>
      <c r="F49" s="158">
        <f t="shared" si="13"/>
        <v>2.3033576456052347</v>
      </c>
      <c r="G49" s="158">
        <f t="shared" si="14"/>
        <v>1.6661393890117147</v>
      </c>
      <c r="H49" s="158">
        <f t="shared" si="15"/>
        <v>2.6430427492563999E-2</v>
      </c>
      <c r="I49" s="219">
        <f t="shared" si="16"/>
        <v>2.204960031746421E-2</v>
      </c>
      <c r="J49" s="155">
        <f t="shared" si="17"/>
        <v>156.62798386781736</v>
      </c>
      <c r="K49" s="155">
        <f t="shared" si="19"/>
        <v>844.37201613218258</v>
      </c>
      <c r="L49" s="155">
        <f t="shared" si="18"/>
        <v>0.83518498133747043</v>
      </c>
    </row>
    <row r="50" spans="2:12" x14ac:dyDescent="0.2">
      <c r="B50" s="99">
        <v>2045</v>
      </c>
      <c r="C50" s="158">
        <f t="shared" si="10"/>
        <v>42.724969904433159</v>
      </c>
      <c r="D50" s="158">
        <f t="shared" si="11"/>
        <v>90.319589817204488</v>
      </c>
      <c r="E50" s="158">
        <f t="shared" si="12"/>
        <v>0.36958305765670718</v>
      </c>
      <c r="F50" s="158">
        <f t="shared" si="13"/>
        <v>2.3060147811973222</v>
      </c>
      <c r="G50" s="158">
        <f t="shared" si="14"/>
        <v>3.1511758485212353</v>
      </c>
      <c r="H50" s="158">
        <f t="shared" si="15"/>
        <v>2.6500139462952696E-2</v>
      </c>
      <c r="I50" s="219">
        <f t="shared" si="16"/>
        <v>2.3115429475799702E-2</v>
      </c>
      <c r="J50" s="155">
        <f t="shared" si="17"/>
        <v>138.92094897795167</v>
      </c>
      <c r="K50" s="155">
        <f t="shared" si="19"/>
        <v>862.07905102204836</v>
      </c>
      <c r="L50" s="155">
        <f t="shared" si="18"/>
        <v>0.85269935808313391</v>
      </c>
    </row>
    <row r="51" spans="2:12" x14ac:dyDescent="0.2">
      <c r="B51" s="98">
        <v>2050</v>
      </c>
      <c r="C51" s="158">
        <f t="shared" si="10"/>
        <v>17.660219601039973</v>
      </c>
      <c r="D51" s="158">
        <f t="shared" si="11"/>
        <v>83.727312172720389</v>
      </c>
      <c r="E51" s="158">
        <f t="shared" si="12"/>
        <v>0.3426078008635623</v>
      </c>
      <c r="F51" s="158">
        <f t="shared" si="13"/>
        <v>2.3286759312083718</v>
      </c>
      <c r="G51" s="158">
        <f t="shared" si="14"/>
        <v>4.5113933192931164</v>
      </c>
      <c r="H51" s="158">
        <f t="shared" si="15"/>
        <v>2.6636220959455698E-2</v>
      </c>
      <c r="I51" s="219">
        <f t="shared" si="16"/>
        <v>2.4215553496994349E-2</v>
      </c>
      <c r="J51" s="155">
        <f t="shared" si="17"/>
        <v>108.62106059958187</v>
      </c>
      <c r="K51" s="155">
        <f t="shared" si="19"/>
        <v>892.37893940041818</v>
      </c>
      <c r="L51" s="155">
        <f t="shared" si="18"/>
        <v>0.88266957408547797</v>
      </c>
    </row>
    <row r="52" spans="2:12" x14ac:dyDescent="0.2">
      <c r="B52" s="226"/>
      <c r="C52" s="225"/>
      <c r="D52" s="225"/>
      <c r="E52" s="225"/>
      <c r="F52" s="225"/>
      <c r="G52" s="225"/>
      <c r="H52" s="225"/>
      <c r="I52" s="224"/>
      <c r="J52" s="151"/>
      <c r="K52" s="151"/>
      <c r="L52" s="151"/>
    </row>
    <row r="53" spans="2:12" x14ac:dyDescent="0.2">
      <c r="B53" s="4"/>
      <c r="C53" s="4"/>
      <c r="D53" s="4"/>
      <c r="E53" s="4"/>
      <c r="F53" s="4"/>
      <c r="G53" s="4"/>
      <c r="H53" s="4"/>
      <c r="I53" s="4"/>
      <c r="J53" s="4"/>
    </row>
    <row r="54" spans="2:12" x14ac:dyDescent="0.2">
      <c r="B54" s="4"/>
      <c r="C54" s="4"/>
      <c r="D54" s="4"/>
      <c r="E54" s="4"/>
      <c r="F54" s="4"/>
      <c r="G54" s="4"/>
      <c r="H54" s="4"/>
      <c r="I54" s="4"/>
      <c r="J54" s="4"/>
    </row>
    <row r="55" spans="2:12" ht="19" x14ac:dyDescent="0.2">
      <c r="B55" s="330"/>
      <c r="C55" s="330"/>
      <c r="D55" s="330"/>
      <c r="E55" s="330"/>
      <c r="F55" s="330"/>
      <c r="G55" s="330"/>
      <c r="H55" s="330"/>
      <c r="I55" s="330"/>
      <c r="J55" s="4"/>
    </row>
    <row r="56" spans="2:12" x14ac:dyDescent="0.2">
      <c r="B56" s="147"/>
      <c r="C56" s="147"/>
      <c r="D56" s="147"/>
      <c r="E56" s="147"/>
      <c r="F56" s="147"/>
      <c r="G56" s="147"/>
      <c r="H56" s="147"/>
      <c r="I56" s="147"/>
      <c r="J56" s="4"/>
    </row>
    <row r="57" spans="2:12" x14ac:dyDescent="0.2">
      <c r="B57" s="218"/>
      <c r="C57" s="145"/>
      <c r="D57" s="145"/>
      <c r="E57" s="145"/>
      <c r="F57" s="145"/>
      <c r="G57" s="145"/>
      <c r="H57" s="145"/>
      <c r="I57" s="145"/>
      <c r="J57" s="223"/>
    </row>
    <row r="58" spans="2:12" x14ac:dyDescent="0.2">
      <c r="B58" s="218"/>
      <c r="C58" s="145"/>
      <c r="D58" s="145"/>
      <c r="E58" s="145"/>
      <c r="F58" s="145"/>
      <c r="G58" s="145"/>
      <c r="H58" s="145"/>
      <c r="I58" s="145"/>
      <c r="J58" s="223"/>
    </row>
    <row r="59" spans="2:12" x14ac:dyDescent="0.2">
      <c r="B59" s="218"/>
      <c r="C59" s="145"/>
      <c r="D59" s="145"/>
      <c r="E59" s="145"/>
      <c r="F59" s="145"/>
      <c r="G59" s="145"/>
      <c r="H59" s="145"/>
      <c r="I59" s="145"/>
      <c r="J59" s="223"/>
    </row>
    <row r="60" spans="2:12" x14ac:dyDescent="0.2">
      <c r="B60" s="218"/>
      <c r="C60" s="145"/>
      <c r="D60" s="145"/>
      <c r="E60" s="145"/>
      <c r="F60" s="145"/>
      <c r="G60" s="145"/>
      <c r="H60" s="145"/>
      <c r="I60" s="145"/>
      <c r="J60" s="223"/>
    </row>
    <row r="61" spans="2:12" x14ac:dyDescent="0.2">
      <c r="B61" s="218"/>
      <c r="C61" s="145"/>
      <c r="D61" s="145"/>
      <c r="E61" s="145"/>
      <c r="F61" s="145"/>
      <c r="G61" s="145"/>
      <c r="H61" s="145"/>
      <c r="I61" s="145"/>
      <c r="J61" s="223"/>
    </row>
    <row r="62" spans="2:12" x14ac:dyDescent="0.2">
      <c r="B62" s="222"/>
      <c r="C62" s="222"/>
      <c r="D62" s="222"/>
      <c r="E62" s="222"/>
      <c r="F62" s="222"/>
      <c r="G62" s="222"/>
      <c r="H62" s="222"/>
      <c r="I62" s="222"/>
      <c r="J62" s="4"/>
    </row>
    <row r="63" spans="2:12" x14ac:dyDescent="0.2">
      <c r="B63" s="4"/>
      <c r="C63" s="4"/>
      <c r="D63" s="4"/>
      <c r="E63" s="4"/>
      <c r="F63" s="4"/>
      <c r="G63" s="4"/>
      <c r="H63" s="4"/>
      <c r="I63" s="4"/>
      <c r="J63" s="4"/>
    </row>
    <row r="64" spans="2:12" x14ac:dyDescent="0.2">
      <c r="B64" s="4"/>
      <c r="C64" s="4"/>
      <c r="D64" s="4"/>
      <c r="E64" s="4"/>
      <c r="F64" s="4"/>
      <c r="G64" s="4"/>
      <c r="H64" s="4"/>
      <c r="I64" s="4"/>
      <c r="J64" s="4"/>
    </row>
    <row r="65" spans="2:10" ht="19" x14ac:dyDescent="0.2">
      <c r="B65" s="330"/>
      <c r="C65" s="330"/>
      <c r="D65" s="330"/>
      <c r="E65" s="330"/>
      <c r="F65" s="330"/>
      <c r="G65" s="330"/>
      <c r="H65" s="330"/>
      <c r="I65" s="330"/>
      <c r="J65" s="4"/>
    </row>
    <row r="66" spans="2:10" x14ac:dyDescent="0.2">
      <c r="B66" s="147"/>
      <c r="C66" s="147"/>
      <c r="D66" s="147"/>
      <c r="E66" s="147"/>
      <c r="F66" s="147"/>
      <c r="G66" s="147"/>
      <c r="H66" s="147"/>
      <c r="I66" s="147"/>
      <c r="J66" s="218"/>
    </row>
    <row r="67" spans="2:10" x14ac:dyDescent="0.2">
      <c r="B67" s="218"/>
      <c r="C67" s="145"/>
      <c r="D67" s="145"/>
      <c r="E67" s="145"/>
      <c r="F67" s="145"/>
      <c r="G67" s="145"/>
      <c r="H67" s="145"/>
      <c r="I67" s="145"/>
      <c r="J67" s="145"/>
    </row>
    <row r="68" spans="2:10" x14ac:dyDescent="0.2">
      <c r="B68" s="218"/>
      <c r="C68" s="145"/>
      <c r="D68" s="145"/>
      <c r="E68" s="145"/>
      <c r="F68" s="145"/>
      <c r="G68" s="145"/>
      <c r="H68" s="145"/>
      <c r="I68" s="145"/>
      <c r="J68" s="145"/>
    </row>
    <row r="69" spans="2:10" x14ac:dyDescent="0.2">
      <c r="B69" s="218"/>
      <c r="C69" s="145"/>
      <c r="D69" s="145"/>
      <c r="E69" s="145"/>
      <c r="F69" s="145"/>
      <c r="G69" s="145"/>
      <c r="H69" s="145"/>
      <c r="I69" s="145"/>
      <c r="J69" s="145"/>
    </row>
    <row r="70" spans="2:10" x14ac:dyDescent="0.2">
      <c r="B70" s="218"/>
      <c r="C70" s="145"/>
      <c r="D70" s="145"/>
      <c r="E70" s="145"/>
      <c r="F70" s="145"/>
      <c r="G70" s="145"/>
      <c r="H70" s="145"/>
      <c r="I70" s="145"/>
      <c r="J70" s="145"/>
    </row>
    <row r="71" spans="2:10" x14ac:dyDescent="0.2">
      <c r="B71" s="218"/>
      <c r="C71" s="145"/>
      <c r="D71" s="145"/>
      <c r="E71" s="145"/>
      <c r="F71" s="145"/>
      <c r="G71" s="145"/>
      <c r="H71" s="145"/>
      <c r="I71" s="145"/>
      <c r="J71" s="145"/>
    </row>
    <row r="72" spans="2:10" x14ac:dyDescent="0.2">
      <c r="B72" s="222"/>
      <c r="C72" s="222"/>
      <c r="D72" s="222"/>
      <c r="E72" s="222"/>
      <c r="F72" s="222"/>
      <c r="G72" s="222"/>
      <c r="H72" s="222"/>
      <c r="I72" s="222"/>
      <c r="J72" s="4"/>
    </row>
  </sheetData>
  <mergeCells count="9">
    <mergeCell ref="J42:J43"/>
    <mergeCell ref="K42:K43"/>
    <mergeCell ref="L42:L43"/>
    <mergeCell ref="B2:I2"/>
    <mergeCell ref="B65:I65"/>
    <mergeCell ref="B17:I17"/>
    <mergeCell ref="B29:I29"/>
    <mergeCell ref="B42:I42"/>
    <mergeCell ref="B55:I5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6D9C4-B11A-4D89-AA74-46BE8F99A0C5}">
  <sheetPr>
    <tabColor theme="6"/>
  </sheetPr>
  <dimension ref="A1:U72"/>
  <sheetViews>
    <sheetView workbookViewId="0">
      <selection activeCell="J4" sqref="J4:J10"/>
    </sheetView>
  </sheetViews>
  <sheetFormatPr baseColWidth="10" defaultColWidth="11" defaultRowHeight="16" x14ac:dyDescent="0.2"/>
  <cols>
    <col min="10" max="10" width="13" customWidth="1"/>
  </cols>
  <sheetData>
    <row r="1" spans="1:11" x14ac:dyDescent="0.2">
      <c r="A1" s="4" t="s">
        <v>609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85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54" t="s">
        <v>556</v>
      </c>
      <c r="I3" s="235" t="s">
        <v>527</v>
      </c>
      <c r="J3" s="39" t="s">
        <v>460</v>
      </c>
      <c r="K3" s="213"/>
    </row>
    <row r="4" spans="1:11" x14ac:dyDescent="0.2">
      <c r="A4" s="4"/>
      <c r="B4" s="209" t="s">
        <v>454</v>
      </c>
      <c r="C4" s="253" t="s">
        <v>607</v>
      </c>
      <c r="D4" s="206">
        <v>4000000000000</v>
      </c>
      <c r="E4" s="207">
        <v>4000000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A5" s="4"/>
      <c r="B5" s="209" t="s">
        <v>452</v>
      </c>
      <c r="C5" s="253" t="s">
        <v>608</v>
      </c>
      <c r="D5" s="206">
        <v>6000000000000</v>
      </c>
      <c r="E5" s="207">
        <v>6000000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A6" s="4"/>
      <c r="B6" s="209" t="s">
        <v>450</v>
      </c>
      <c r="C6" s="253" t="s">
        <v>607</v>
      </c>
      <c r="D6" s="206">
        <v>4000000000000</v>
      </c>
      <c r="E6" s="207">
        <v>4000000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A7" s="4"/>
      <c r="B7" s="209" t="s">
        <v>448</v>
      </c>
      <c r="C7" s="253" t="s">
        <v>606</v>
      </c>
      <c r="D7" s="206">
        <v>97000000000000</v>
      </c>
      <c r="E7" s="207">
        <v>97000000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A8" s="4"/>
      <c r="B8" s="209" t="s">
        <v>446</v>
      </c>
      <c r="C8" s="253" t="s">
        <v>445</v>
      </c>
      <c r="D8" s="206">
        <v>109000000000000</v>
      </c>
      <c r="E8" s="207" t="s">
        <v>567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A9" s="4"/>
      <c r="B9" s="209" t="s">
        <v>444</v>
      </c>
      <c r="C9" s="253" t="s">
        <v>443</v>
      </c>
      <c r="D9" s="206">
        <v>78000000000000</v>
      </c>
      <c r="E9" s="207">
        <v>78000000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A10" s="4"/>
      <c r="B10" s="209" t="s">
        <v>555</v>
      </c>
      <c r="C10" s="253" t="s">
        <v>605</v>
      </c>
      <c r="D10" s="206">
        <v>98000000000000</v>
      </c>
      <c r="E10" s="207">
        <v>98000000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A12" s="4"/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20" ht="19" x14ac:dyDescent="0.2">
      <c r="A17" s="4"/>
      <c r="B17" s="331" t="s">
        <v>604</v>
      </c>
      <c r="C17" s="332"/>
      <c r="D17" s="332"/>
      <c r="E17" s="332"/>
      <c r="F17" s="332"/>
      <c r="G17" s="332"/>
      <c r="H17" s="332"/>
      <c r="I17" s="338"/>
      <c r="J17" s="184"/>
      <c r="K17" s="4"/>
      <c r="L17" s="166" t="s">
        <v>551</v>
      </c>
      <c r="T17" s="165"/>
    </row>
    <row r="18" spans="1:20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79" t="s">
        <v>520</v>
      </c>
      <c r="J18" s="184"/>
      <c r="K18" s="4"/>
      <c r="L18" s="166" t="s">
        <v>550</v>
      </c>
      <c r="T18" s="165"/>
    </row>
    <row r="19" spans="1:20" x14ac:dyDescent="0.2">
      <c r="A19" s="4"/>
      <c r="B19" s="184"/>
      <c r="C19" s="184"/>
      <c r="D19" s="184"/>
      <c r="E19" s="184"/>
      <c r="F19" s="184"/>
      <c r="G19" s="184"/>
      <c r="H19" s="184"/>
      <c r="I19" s="184"/>
      <c r="J19" s="184"/>
      <c r="K19" s="4"/>
      <c r="T19" s="165"/>
    </row>
    <row r="20" spans="1:20" x14ac:dyDescent="0.2">
      <c r="A20" s="4"/>
      <c r="B20" s="99">
        <v>2020</v>
      </c>
      <c r="C20" s="184">
        <f>M25/1000</f>
        <v>3.8785392619443609E-2</v>
      </c>
      <c r="D20" s="184">
        <f>M24/1000</f>
        <v>0.25636517210908699</v>
      </c>
      <c r="E20" s="184">
        <f>M26/1000</f>
        <v>1.1310386400771099E-2</v>
      </c>
      <c r="F20" s="184">
        <f>M28/1000</f>
        <v>0.11374785746726</v>
      </c>
      <c r="G20" s="184">
        <f>M31/1000</f>
        <v>7.6171176614478397E-3</v>
      </c>
      <c r="H20" s="184">
        <f>M29/1000</f>
        <v>1.7054829375E-2</v>
      </c>
      <c r="I20" s="184">
        <f>(M23+M30+M32)/1000</f>
        <v>5.2486270798519329E-2</v>
      </c>
      <c r="J20" s="184">
        <f t="shared" ref="J20:J26" si="0">SUM(C20:I20)</f>
        <v>0.49736702643152891</v>
      </c>
      <c r="K20" s="4"/>
      <c r="L20" s="169" t="s">
        <v>603</v>
      </c>
      <c r="T20" s="165"/>
    </row>
    <row r="21" spans="1:20" x14ac:dyDescent="0.2">
      <c r="A21" s="4"/>
      <c r="B21" s="99">
        <v>2025</v>
      </c>
      <c r="C21" s="184">
        <f>N25/1000</f>
        <v>2.6814220196008497E-2</v>
      </c>
      <c r="D21" s="184">
        <f>N24/1000</f>
        <v>0.27295002220062442</v>
      </c>
      <c r="E21" s="184">
        <f>N26/1000</f>
        <v>1.1310386400771099E-2</v>
      </c>
      <c r="F21" s="184">
        <f>N28/1000</f>
        <v>0.134654549395475</v>
      </c>
      <c r="G21" s="184">
        <f>N31/1000</f>
        <v>9.7193058763122304E-3</v>
      </c>
      <c r="H21" s="184">
        <f>N29/1000</f>
        <v>1.8995965521081799E-2</v>
      </c>
      <c r="I21" s="184">
        <f>(N23+N30+N29)/1000</f>
        <v>6.1961687566924384E-2</v>
      </c>
      <c r="J21" s="184">
        <f t="shared" si="0"/>
        <v>0.53640613715719743</v>
      </c>
      <c r="K21" s="4"/>
      <c r="L21" s="166" t="s">
        <v>544</v>
      </c>
      <c r="T21" s="165"/>
    </row>
    <row r="22" spans="1:20" ht="18" customHeight="1" thickBot="1" x14ac:dyDescent="0.25">
      <c r="A22" s="4"/>
      <c r="B22" s="99">
        <v>2030</v>
      </c>
      <c r="C22" s="184">
        <f>O25/1000</f>
        <v>2.6814220196008497E-2</v>
      </c>
      <c r="D22" s="184">
        <f>O24/1000</f>
        <v>0.27955975020954243</v>
      </c>
      <c r="E22" s="184">
        <f>O26/1000</f>
        <v>1.9688450401342303E-2</v>
      </c>
      <c r="F22" s="184">
        <f>O28/1000</f>
        <v>0.14292451213377899</v>
      </c>
      <c r="G22" s="184">
        <f>O31/1000</f>
        <v>1.9602129695457597E-2</v>
      </c>
      <c r="H22" s="184">
        <f>O29/1000</f>
        <v>3.3528021428038297E-2</v>
      </c>
      <c r="I22" s="184">
        <f>(O23+O30+O32)/1000</f>
        <v>3.6327396589804037E-2</v>
      </c>
      <c r="J22" s="184">
        <f t="shared" si="0"/>
        <v>0.55844448065397212</v>
      </c>
      <c r="K22" s="4"/>
      <c r="L22" s="160" t="s">
        <v>543</v>
      </c>
      <c r="M22" s="160">
        <v>2020</v>
      </c>
      <c r="N22" s="160">
        <v>2025</v>
      </c>
      <c r="O22" s="160">
        <v>2030</v>
      </c>
      <c r="P22" s="160">
        <v>2035</v>
      </c>
      <c r="Q22" s="160">
        <v>2040</v>
      </c>
      <c r="R22" s="160">
        <v>2045</v>
      </c>
      <c r="S22" s="160">
        <v>2050</v>
      </c>
      <c r="T22" s="159" t="s">
        <v>542</v>
      </c>
    </row>
    <row r="23" spans="1:20" ht="17" thickTop="1" x14ac:dyDescent="0.2">
      <c r="A23" s="4"/>
      <c r="B23" s="99">
        <v>2035</v>
      </c>
      <c r="C23" s="184">
        <f>P25/1000</f>
        <v>2.6814220196008497E-2</v>
      </c>
      <c r="D23" s="184">
        <f>P24/1000</f>
        <v>0.30236564947823069</v>
      </c>
      <c r="E23" s="184">
        <f>P26/1000</f>
        <v>2.80665144019135E-2</v>
      </c>
      <c r="F23" s="184">
        <f>P28/1000</f>
        <v>0.147514518685393</v>
      </c>
      <c r="G23" s="184">
        <f>P31/1000</f>
        <v>3.2751147524839402E-2</v>
      </c>
      <c r="H23" s="184">
        <f>P29/1000</f>
        <v>4.5400959275276098E-2</v>
      </c>
      <c r="I23" s="184">
        <f>(P23+P30+P32)/1000</f>
        <v>2.9464178654920355E-2</v>
      </c>
      <c r="J23" s="184">
        <f t="shared" si="0"/>
        <v>0.61237718821658149</v>
      </c>
      <c r="K23" s="4"/>
      <c r="L23" s="150" t="s">
        <v>541</v>
      </c>
      <c r="M23" s="150">
        <v>38.146144780747541</v>
      </c>
      <c r="N23" s="150">
        <v>38.146027558525383</v>
      </c>
      <c r="O23" s="150">
        <v>18.1436662422567</v>
      </c>
      <c r="P23" s="150">
        <v>10.2719066759522</v>
      </c>
      <c r="Q23" s="150">
        <v>4.9412528001694014</v>
      </c>
      <c r="R23" s="150">
        <v>1.3314028671209199</v>
      </c>
      <c r="S23" s="150">
        <v>1.3314028671209199</v>
      </c>
      <c r="T23" s="149">
        <v>-10.58124313583302</v>
      </c>
    </row>
    <row r="24" spans="1:20" x14ac:dyDescent="0.2">
      <c r="A24" s="4"/>
      <c r="B24" s="99">
        <v>2040</v>
      </c>
      <c r="C24" s="184">
        <f>Q25/1000</f>
        <v>2.6814220196008497E-2</v>
      </c>
      <c r="D24" s="184">
        <f>Q24/1000</f>
        <v>0.3120728225120824</v>
      </c>
      <c r="E24" s="184">
        <f>Q26/1000</f>
        <v>2.33887620015946E-2</v>
      </c>
      <c r="F24" s="184">
        <f>Q28/1000</f>
        <v>0.147514518685393</v>
      </c>
      <c r="G24" s="184">
        <f>Q31/1000</f>
        <v>5.6387558620104798E-2</v>
      </c>
      <c r="H24" s="184">
        <f>Q29/1000</f>
        <v>7.10345811693915E-2</v>
      </c>
      <c r="I24" s="184">
        <f>+(Q23+Q30+Q32)/1000</f>
        <v>2.5143989725119893E-2</v>
      </c>
      <c r="J24" s="184">
        <f t="shared" si="0"/>
        <v>0.66235645290969469</v>
      </c>
      <c r="K24" s="4"/>
      <c r="L24" s="150" t="s">
        <v>540</v>
      </c>
      <c r="M24" s="150">
        <v>256.36517210908698</v>
      </c>
      <c r="N24" s="150">
        <v>272.9500222006244</v>
      </c>
      <c r="O24" s="150">
        <v>279.55975020954241</v>
      </c>
      <c r="P24" s="150">
        <v>302.36564947823069</v>
      </c>
      <c r="Q24" s="150">
        <v>312.07282251208238</v>
      </c>
      <c r="R24" s="150">
        <v>294.88733533322443</v>
      </c>
      <c r="S24" s="150">
        <v>261.81863004134442</v>
      </c>
      <c r="T24" s="149">
        <v>7.0188389468039958E-2</v>
      </c>
    </row>
    <row r="25" spans="1:20" x14ac:dyDescent="0.2">
      <c r="A25" s="4"/>
      <c r="B25" s="99">
        <v>2045</v>
      </c>
      <c r="C25" s="184">
        <f>R25/1000</f>
        <v>2.9070029178925299E-2</v>
      </c>
      <c r="D25" s="184">
        <f>R24/1000</f>
        <v>0.29488733533322442</v>
      </c>
      <c r="E25" s="184">
        <f>R26/1000</f>
        <v>1.6756128001142401E-2</v>
      </c>
      <c r="F25" s="184">
        <f>R28/1000</f>
        <v>0.147514518685394</v>
      </c>
      <c r="G25" s="184">
        <f>R31/1000</f>
        <v>0.10488822083649001</v>
      </c>
      <c r="H25" s="184">
        <f>R29/1000</f>
        <v>0.100327344550349</v>
      </c>
      <c r="I25" s="184">
        <f>(R23+R30+R32)/1000</f>
        <v>2.2536909206979941E-2</v>
      </c>
      <c r="J25" s="184">
        <f t="shared" si="0"/>
        <v>0.71598048579250506</v>
      </c>
      <c r="K25" s="4"/>
      <c r="L25" s="150" t="s">
        <v>446</v>
      </c>
      <c r="M25" s="150">
        <v>38.785392619443613</v>
      </c>
      <c r="N25" s="150">
        <v>26.814220196008499</v>
      </c>
      <c r="O25" s="150">
        <v>26.814220196008499</v>
      </c>
      <c r="P25" s="150">
        <v>26.814220196008499</v>
      </c>
      <c r="Q25" s="150">
        <v>26.814220196008499</v>
      </c>
      <c r="R25" s="150">
        <v>29.070029178925299</v>
      </c>
      <c r="S25" s="150">
        <v>29.893638580069599</v>
      </c>
      <c r="T25" s="149">
        <v>-0.86423713240367794</v>
      </c>
    </row>
    <row r="26" spans="1:20" x14ac:dyDescent="0.2">
      <c r="A26" s="4"/>
      <c r="B26" s="98">
        <v>2050</v>
      </c>
      <c r="C26" s="184">
        <f>S25/1000</f>
        <v>2.98936385800696E-2</v>
      </c>
      <c r="D26" s="184">
        <f>S24/1000</f>
        <v>0.26181863004134442</v>
      </c>
      <c r="E26" s="184">
        <f>S26/1000</f>
        <v>1.6756128001142401E-2</v>
      </c>
      <c r="F26" s="184">
        <f>S28/1000</f>
        <v>0.147514518685393</v>
      </c>
      <c r="G26" s="184">
        <f>S31/1000</f>
        <v>0.17723258539039</v>
      </c>
      <c r="H26" s="184">
        <f>S29/1000</f>
        <v>0.10810049305012701</v>
      </c>
      <c r="I26" s="184">
        <f>(S23+S30+S32)/1000</f>
        <v>2.344918292648164E-2</v>
      </c>
      <c r="J26" s="184">
        <f t="shared" si="0"/>
        <v>0.76476517667494814</v>
      </c>
      <c r="K26" s="4"/>
      <c r="L26" s="150" t="s">
        <v>454</v>
      </c>
      <c r="M26" s="150">
        <v>11.310386400771099</v>
      </c>
      <c r="N26" s="150">
        <v>11.310386400771099</v>
      </c>
      <c r="O26" s="150">
        <v>19.688450401342301</v>
      </c>
      <c r="P26" s="150">
        <v>28.066514401913501</v>
      </c>
      <c r="Q26" s="150">
        <v>23.3887620015946</v>
      </c>
      <c r="R26" s="150">
        <v>16.7561280011424</v>
      </c>
      <c r="S26" s="150">
        <v>16.7561280011424</v>
      </c>
      <c r="T26" s="149">
        <v>1.318761923596345</v>
      </c>
    </row>
    <row r="27" spans="1:20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150" t="s">
        <v>539</v>
      </c>
      <c r="M27" s="150">
        <v>152.75993052147959</v>
      </c>
      <c r="N27" s="150">
        <v>178.0494665790707</v>
      </c>
      <c r="O27" s="150">
        <v>214.23839360482219</v>
      </c>
      <c r="P27" s="150">
        <v>244.8588974644766</v>
      </c>
      <c r="Q27" s="150">
        <v>295.13939539983983</v>
      </c>
      <c r="R27" s="150">
        <v>373.93559041209198</v>
      </c>
      <c r="S27" s="150">
        <v>454.96537718527071</v>
      </c>
      <c r="T27" s="149">
        <v>3.704825055478445</v>
      </c>
    </row>
    <row r="28" spans="1:20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150" t="s">
        <v>538</v>
      </c>
      <c r="M28" s="150">
        <v>113.74785746726</v>
      </c>
      <c r="N28" s="150">
        <v>134.65454939547499</v>
      </c>
      <c r="O28" s="150">
        <v>142.92451213377899</v>
      </c>
      <c r="P28" s="150">
        <v>147.514518685393</v>
      </c>
      <c r="Q28" s="150">
        <v>147.514518685393</v>
      </c>
      <c r="R28" s="150">
        <v>147.51451868539399</v>
      </c>
      <c r="S28" s="150">
        <v>147.514518685393</v>
      </c>
      <c r="T28" s="149">
        <v>0.87023935854197987</v>
      </c>
    </row>
    <row r="29" spans="1:20" ht="19" x14ac:dyDescent="0.2">
      <c r="A29" s="4"/>
      <c r="B29" s="331" t="s">
        <v>602</v>
      </c>
      <c r="C29" s="332"/>
      <c r="D29" s="332"/>
      <c r="E29" s="332"/>
      <c r="F29" s="332"/>
      <c r="G29" s="332"/>
      <c r="H29" s="332"/>
      <c r="I29" s="338"/>
      <c r="J29" s="4"/>
      <c r="K29" s="4"/>
      <c r="L29" s="150" t="s">
        <v>537</v>
      </c>
      <c r="M29" s="150">
        <v>17.054829375000001</v>
      </c>
      <c r="N29" s="150">
        <v>18.9959655210818</v>
      </c>
      <c r="O29" s="150">
        <v>33.528021428038301</v>
      </c>
      <c r="P29" s="150">
        <v>45.400959275276101</v>
      </c>
      <c r="Q29" s="150">
        <v>71.034581169391501</v>
      </c>
      <c r="R29" s="150">
        <v>100.327344550349</v>
      </c>
      <c r="S29" s="150">
        <v>108.100493050127</v>
      </c>
      <c r="T29" s="149">
        <v>6.3488202465771026</v>
      </c>
    </row>
    <row r="30" spans="1:20" x14ac:dyDescent="0.2">
      <c r="A30" s="4"/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K30" s="4"/>
      <c r="L30" s="150" t="s">
        <v>536</v>
      </c>
      <c r="M30" s="150">
        <v>5.0393626235022007</v>
      </c>
      <c r="N30" s="150">
        <v>4.8196944873172001</v>
      </c>
      <c r="O30" s="150">
        <v>7.7408185593180701</v>
      </c>
      <c r="P30" s="150">
        <v>7.7408185593180701</v>
      </c>
      <c r="Q30" s="150">
        <v>7.8166712555391804</v>
      </c>
      <c r="R30" s="150">
        <v>7.8166712555391804</v>
      </c>
      <c r="S30" s="150">
        <v>7.8166712555391804</v>
      </c>
      <c r="T30" s="149">
        <v>1.4740220586301871</v>
      </c>
    </row>
    <row r="31" spans="1:20" x14ac:dyDescent="0.2">
      <c r="A31" s="4"/>
      <c r="B31" s="184"/>
      <c r="C31" s="175"/>
      <c r="D31" s="175"/>
      <c r="E31" s="175"/>
      <c r="F31" s="175"/>
      <c r="G31" s="175"/>
      <c r="H31" s="175"/>
      <c r="I31" s="175"/>
      <c r="J31" s="8"/>
      <c r="K31" s="4"/>
      <c r="L31" s="150" t="s">
        <v>535</v>
      </c>
      <c r="M31" s="150">
        <v>7.61711766144784</v>
      </c>
      <c r="N31" s="150">
        <v>9.7193058763122302</v>
      </c>
      <c r="O31" s="150">
        <v>19.602129695457599</v>
      </c>
      <c r="P31" s="150">
        <v>32.751147524839404</v>
      </c>
      <c r="Q31" s="150">
        <v>56.387558620104798</v>
      </c>
      <c r="R31" s="150">
        <v>104.88822083649001</v>
      </c>
      <c r="S31" s="150">
        <v>177.23258539039</v>
      </c>
      <c r="T31" s="149">
        <v>11.060194645708149</v>
      </c>
    </row>
    <row r="32" spans="1:20" x14ac:dyDescent="0.2">
      <c r="A32" s="4"/>
      <c r="B32" s="99">
        <v>2020</v>
      </c>
      <c r="C32" s="175">
        <f t="shared" ref="C32:C38" si="1">C20/J20</f>
        <v>7.7981431333954909E-2</v>
      </c>
      <c r="D32" s="175">
        <f t="shared" ref="D32:D38" si="2">D20/J20</f>
        <v>0.51544464848913751</v>
      </c>
      <c r="E32" s="175">
        <f t="shared" ref="E32:E38" si="3">E20/J20</f>
        <v>2.274052319455111E-2</v>
      </c>
      <c r="F32" s="175">
        <f t="shared" ref="F32:F38" si="4">F20/J20</f>
        <v>0.228700037240847</v>
      </c>
      <c r="G32" s="175">
        <f t="shared" ref="G32:G38" si="5">G20/J20</f>
        <v>1.5314882685526131E-2</v>
      </c>
      <c r="H32" s="175">
        <f t="shared" ref="H32:H38" si="6">H20/J20</f>
        <v>3.4290229284726997E-2</v>
      </c>
      <c r="I32" s="175">
        <f t="shared" ref="I32:I38" si="7">I20/J20</f>
        <v>0.10552824777125623</v>
      </c>
      <c r="J32" s="4"/>
      <c r="K32" s="4"/>
      <c r="L32" s="150" t="s">
        <v>534</v>
      </c>
      <c r="M32" s="150">
        <v>9.3007633942695893</v>
      </c>
      <c r="N32" s="150">
        <v>9.8599512988844982</v>
      </c>
      <c r="O32" s="150">
        <v>10.442911788229271</v>
      </c>
      <c r="P32" s="150">
        <v>11.451453419650081</v>
      </c>
      <c r="Q32" s="150">
        <v>12.386065669411311</v>
      </c>
      <c r="R32" s="150">
        <v>13.38883508431984</v>
      </c>
      <c r="S32" s="150">
        <v>14.30110880382154</v>
      </c>
      <c r="T32" s="149">
        <v>1.44446836056078</v>
      </c>
    </row>
    <row r="33" spans="1:21" ht="17" thickBot="1" x14ac:dyDescent="0.25">
      <c r="A33" s="4"/>
      <c r="B33" s="99">
        <v>2025</v>
      </c>
      <c r="C33" s="175">
        <f t="shared" si="1"/>
        <v>4.998865288551016E-2</v>
      </c>
      <c r="D33" s="175">
        <f t="shared" si="2"/>
        <v>0.50884955128810272</v>
      </c>
      <c r="E33" s="175">
        <f t="shared" si="3"/>
        <v>2.108549029791677E-2</v>
      </c>
      <c r="F33" s="175">
        <f t="shared" si="4"/>
        <v>0.25103096342093784</v>
      </c>
      <c r="G33" s="175">
        <f t="shared" si="5"/>
        <v>1.8119304018074503E-2</v>
      </c>
      <c r="H33" s="175">
        <f t="shared" si="6"/>
        <v>3.5413400789474754E-2</v>
      </c>
      <c r="I33" s="175">
        <f t="shared" si="7"/>
        <v>0.11551263729998319</v>
      </c>
      <c r="J33" s="4"/>
      <c r="K33" s="4"/>
      <c r="L33" s="150" t="s">
        <v>533</v>
      </c>
      <c r="M33" s="150">
        <v>497.36702643152893</v>
      </c>
      <c r="N33" s="150">
        <v>527.27012293500013</v>
      </c>
      <c r="O33" s="150">
        <v>558.44448065397216</v>
      </c>
      <c r="P33" s="150">
        <v>612.37718821658154</v>
      </c>
      <c r="Q33" s="150">
        <v>662.35645290969467</v>
      </c>
      <c r="R33" s="150">
        <v>715.98048579250496</v>
      </c>
      <c r="S33" s="150">
        <v>764.76517667494795</v>
      </c>
      <c r="T33" s="149">
        <v>1.44446836056078</v>
      </c>
    </row>
    <row r="34" spans="1:21" ht="17" customHeight="1" thickBot="1" x14ac:dyDescent="0.25">
      <c r="A34" s="4"/>
      <c r="B34" s="99">
        <v>2030</v>
      </c>
      <c r="C34" s="175">
        <f t="shared" si="1"/>
        <v>4.8015910488733687E-2</v>
      </c>
      <c r="D34" s="175">
        <f t="shared" si="2"/>
        <v>0.50060437499921417</v>
      </c>
      <c r="E34" s="175">
        <f t="shared" si="3"/>
        <v>3.5255877859668237E-2</v>
      </c>
      <c r="F34" s="175">
        <f t="shared" si="4"/>
        <v>0.25593325224811209</v>
      </c>
      <c r="G34" s="175">
        <f t="shared" si="5"/>
        <v>3.5101304381238263E-2</v>
      </c>
      <c r="H34" s="175">
        <f t="shared" si="6"/>
        <v>6.0038235831026507E-2</v>
      </c>
      <c r="I34" s="175">
        <f t="shared" si="7"/>
        <v>6.5051044192007176E-2</v>
      </c>
      <c r="J34" s="4"/>
      <c r="K34" s="4"/>
      <c r="L34" s="146" t="s">
        <v>532</v>
      </c>
      <c r="M34" s="146"/>
      <c r="N34" s="146"/>
      <c r="O34" s="146"/>
      <c r="P34" s="146"/>
      <c r="Q34" s="146"/>
      <c r="R34" s="146"/>
      <c r="S34" s="146"/>
      <c r="T34" s="146"/>
    </row>
    <row r="35" spans="1:21" ht="17" thickBot="1" x14ac:dyDescent="0.25">
      <c r="A35" s="4"/>
      <c r="B35" s="99">
        <v>2035</v>
      </c>
      <c r="C35" s="175">
        <f t="shared" si="1"/>
        <v>4.3787098396168574E-2</v>
      </c>
      <c r="D35" s="175">
        <f t="shared" si="2"/>
        <v>0.49375720601024742</v>
      </c>
      <c r="E35" s="175">
        <f t="shared" si="3"/>
        <v>4.5832070400354495E-2</v>
      </c>
      <c r="F35" s="175">
        <f t="shared" si="4"/>
        <v>0.2408883307933101</v>
      </c>
      <c r="G35" s="175">
        <f t="shared" si="5"/>
        <v>5.3481984886178016E-2</v>
      </c>
      <c r="H35" s="175">
        <f t="shared" si="6"/>
        <v>7.4138880658661949E-2</v>
      </c>
      <c r="I35" s="175">
        <f t="shared" si="7"/>
        <v>4.8114428855079529E-2</v>
      </c>
      <c r="J35" s="4"/>
      <c r="K35" s="4"/>
      <c r="L35" s="146"/>
      <c r="M35" s="146"/>
      <c r="N35" s="146"/>
      <c r="O35" s="146"/>
      <c r="P35" s="146"/>
      <c r="Q35" s="146"/>
      <c r="R35" s="146"/>
      <c r="S35" s="146"/>
      <c r="T35" s="146"/>
    </row>
    <row r="36" spans="1:21" ht="17" thickBot="1" x14ac:dyDescent="0.25">
      <c r="A36" s="4"/>
      <c r="B36" s="99">
        <v>2040</v>
      </c>
      <c r="C36" s="175">
        <f t="shared" si="1"/>
        <v>4.0483066297935404E-2</v>
      </c>
      <c r="D36" s="175">
        <f t="shared" si="2"/>
        <v>0.47115540452752297</v>
      </c>
      <c r="E36" s="175">
        <f t="shared" si="3"/>
        <v>3.5311442802208812E-2</v>
      </c>
      <c r="F36" s="175">
        <f t="shared" si="4"/>
        <v>0.22271168045146991</v>
      </c>
      <c r="G36" s="175">
        <f t="shared" si="5"/>
        <v>8.5131741938041697E-2</v>
      </c>
      <c r="H36" s="175">
        <f t="shared" si="6"/>
        <v>0.10724524666037535</v>
      </c>
      <c r="I36" s="175">
        <f t="shared" si="7"/>
        <v>3.796141732244588E-2</v>
      </c>
      <c r="J36" s="4"/>
      <c r="K36" s="4"/>
      <c r="L36" s="146"/>
      <c r="M36" s="146"/>
      <c r="N36" s="146"/>
      <c r="O36" s="146"/>
      <c r="P36" s="146"/>
      <c r="Q36" s="146"/>
      <c r="R36" s="146"/>
      <c r="S36" s="146"/>
      <c r="T36" s="146"/>
    </row>
    <row r="37" spans="1:21" ht="17" thickBot="1" x14ac:dyDescent="0.25">
      <c r="A37" s="4"/>
      <c r="B37" s="99">
        <v>2045</v>
      </c>
      <c r="C37" s="175">
        <f t="shared" si="1"/>
        <v>4.0601705990280228E-2</v>
      </c>
      <c r="D37" s="175">
        <f t="shared" si="2"/>
        <v>0.41186504546533736</v>
      </c>
      <c r="E37" s="175">
        <f t="shared" si="3"/>
        <v>2.3403051247402874E-2</v>
      </c>
      <c r="F37" s="175">
        <f t="shared" si="4"/>
        <v>0.20603147936652633</v>
      </c>
      <c r="G37" s="175">
        <f t="shared" si="5"/>
        <v>0.14649592121270072</v>
      </c>
      <c r="H37" s="175">
        <f t="shared" si="6"/>
        <v>0.14012580865147264</v>
      </c>
      <c r="I37" s="175">
        <f t="shared" si="7"/>
        <v>3.1476988066279861E-2</v>
      </c>
      <c r="J37" s="4"/>
      <c r="K37" s="4"/>
      <c r="L37" s="146"/>
      <c r="M37" s="146"/>
      <c r="N37" s="146"/>
      <c r="O37" s="146"/>
      <c r="P37" s="146"/>
      <c r="Q37" s="146"/>
      <c r="R37" s="146"/>
      <c r="S37" s="146"/>
      <c r="T37" s="146"/>
    </row>
    <row r="38" spans="1:21" ht="17" thickBot="1" x14ac:dyDescent="0.25">
      <c r="A38" s="4"/>
      <c r="B38" s="98">
        <v>2050</v>
      </c>
      <c r="C38" s="175">
        <f t="shared" si="1"/>
        <v>3.9088650335834314E-2</v>
      </c>
      <c r="D38" s="175">
        <f t="shared" si="2"/>
        <v>0.34235166300285985</v>
      </c>
      <c r="E38" s="175">
        <f t="shared" si="3"/>
        <v>2.1910160807785236E-2</v>
      </c>
      <c r="F38" s="175">
        <f t="shared" si="4"/>
        <v>0.1928886450174912</v>
      </c>
      <c r="G38" s="175">
        <f t="shared" si="5"/>
        <v>0.23174771916389184</v>
      </c>
      <c r="H38" s="175">
        <f t="shared" si="6"/>
        <v>0.14135122302525222</v>
      </c>
      <c r="I38" s="175">
        <f t="shared" si="7"/>
        <v>3.0661938646885278E-2</v>
      </c>
      <c r="J38" s="4"/>
      <c r="K38" s="4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1:21" ht="17" thickBot="1" x14ac:dyDescent="0.25">
      <c r="A39" s="4"/>
      <c r="B39" s="226"/>
      <c r="C39" s="225"/>
      <c r="D39" s="225"/>
      <c r="E39" s="225"/>
      <c r="F39" s="225"/>
      <c r="G39" s="225"/>
      <c r="H39" s="225"/>
      <c r="I39" s="224"/>
      <c r="J39" s="4"/>
      <c r="K39" s="4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1:21" ht="17" thickBot="1" x14ac:dyDescent="0.25">
      <c r="A40" s="4"/>
      <c r="B40" s="4" t="s">
        <v>86</v>
      </c>
      <c r="C40" s="4"/>
      <c r="D40" s="4"/>
      <c r="E40" s="4"/>
      <c r="F40" s="4"/>
      <c r="G40" s="4"/>
      <c r="H40" s="4"/>
      <c r="I40" s="4"/>
      <c r="J40" s="4"/>
      <c r="K40" s="4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1:21" ht="17" thickBo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1:21" ht="20" thickBot="1" x14ac:dyDescent="0.25">
      <c r="A42" s="4"/>
      <c r="B42" s="331" t="s">
        <v>601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1:21" ht="17" thickBot="1" x14ac:dyDescent="0.25">
      <c r="A43" s="4"/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1:21" x14ac:dyDescent="0.2">
      <c r="A44" s="4"/>
      <c r="B44" s="184"/>
      <c r="C44" s="252"/>
      <c r="D44" s="252"/>
      <c r="E44" s="252"/>
      <c r="F44" s="252"/>
      <c r="G44" s="252"/>
      <c r="H44" s="252"/>
      <c r="I44" s="251"/>
      <c r="J44" s="155"/>
      <c r="K44" s="155"/>
      <c r="L44" s="151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1:21" x14ac:dyDescent="0.2">
      <c r="A45" s="4"/>
      <c r="B45" s="99">
        <v>2020</v>
      </c>
      <c r="C45" s="158">
        <f t="shared" ref="C45:C51" si="8">C32*$J$8</f>
        <v>78.059412765288869</v>
      </c>
      <c r="D45" s="158">
        <f t="shared" ref="D45:D51" si="9">D32*$J$9</f>
        <v>241.7435401414055</v>
      </c>
      <c r="E45" s="158">
        <f t="shared" ref="E45:E51" si="10">E32*$J$4</f>
        <v>0.36384837111281776</v>
      </c>
      <c r="F45" s="158">
        <f t="shared" ref="F45:F51" si="11">F32*$J$7</f>
        <v>0.91480014896338802</v>
      </c>
      <c r="G45" s="158">
        <f t="shared" ref="G45:G51" si="12">G32*$J$5</f>
        <v>0.53602089399341457</v>
      </c>
      <c r="H45" s="158">
        <f t="shared" ref="H45:H51" si="13">H32*$J$6</f>
        <v>0.41148275141672397</v>
      </c>
      <c r="I45" s="219">
        <f t="shared" ref="I45:I51" si="14">I32*$J$10</f>
        <v>1.8995084598826122</v>
      </c>
      <c r="J45" s="155">
        <f t="shared" ref="J45:J51" si="15">SUM(C45:I45)</f>
        <v>323.92861353206325</v>
      </c>
      <c r="K45" s="155">
        <f>$J$8-J45</f>
        <v>677.07138646793669</v>
      </c>
      <c r="L45" s="155">
        <f t="shared" ref="L45:L51" si="16">K45/1011</f>
        <v>0.66970463547768222</v>
      </c>
      <c r="T45" s="165"/>
    </row>
    <row r="46" spans="1:21" x14ac:dyDescent="0.2">
      <c r="A46" s="4"/>
      <c r="B46" s="99">
        <v>2025</v>
      </c>
      <c r="C46" s="158">
        <f t="shared" si="8"/>
        <v>50.038641538395673</v>
      </c>
      <c r="D46" s="158">
        <f t="shared" si="9"/>
        <v>238.65043955412017</v>
      </c>
      <c r="E46" s="158">
        <f t="shared" si="10"/>
        <v>0.33736784476666831</v>
      </c>
      <c r="F46" s="158">
        <f t="shared" si="11"/>
        <v>1.0041238536837513</v>
      </c>
      <c r="G46" s="158">
        <f t="shared" si="12"/>
        <v>0.63417564063260756</v>
      </c>
      <c r="H46" s="158">
        <f t="shared" si="13"/>
        <v>0.42496080947369708</v>
      </c>
      <c r="I46" s="219">
        <f t="shared" si="14"/>
        <v>2.0792274713996974</v>
      </c>
      <c r="J46" s="155">
        <f t="shared" si="15"/>
        <v>293.16893671247232</v>
      </c>
      <c r="K46" s="155">
        <f t="shared" ref="K46:K51" si="17">$J$8-J46</f>
        <v>707.83106328752774</v>
      </c>
      <c r="L46" s="155">
        <f t="shared" si="16"/>
        <v>0.70012963727747546</v>
      </c>
    </row>
    <row r="47" spans="1:21" x14ac:dyDescent="0.2">
      <c r="A47" s="4"/>
      <c r="B47" s="99">
        <v>2030</v>
      </c>
      <c r="C47" s="158">
        <f t="shared" si="8"/>
        <v>48.063926399222424</v>
      </c>
      <c r="D47" s="158">
        <f t="shared" si="9"/>
        <v>234.78345187463145</v>
      </c>
      <c r="E47" s="158">
        <f t="shared" si="10"/>
        <v>0.5640940457546918</v>
      </c>
      <c r="F47" s="158">
        <f t="shared" si="11"/>
        <v>1.0237330089924483</v>
      </c>
      <c r="G47" s="158">
        <f t="shared" si="12"/>
        <v>1.2285456533433392</v>
      </c>
      <c r="H47" s="158">
        <f t="shared" si="13"/>
        <v>0.72045882997231803</v>
      </c>
      <c r="I47" s="219">
        <f t="shared" si="14"/>
        <v>1.1709187954561291</v>
      </c>
      <c r="J47" s="155">
        <f t="shared" si="15"/>
        <v>287.55512860737286</v>
      </c>
      <c r="K47" s="155">
        <f t="shared" si="17"/>
        <v>713.44487139262719</v>
      </c>
      <c r="L47" s="155">
        <f t="shared" si="16"/>
        <v>0.70568236537351847</v>
      </c>
    </row>
    <row r="48" spans="1:21" x14ac:dyDescent="0.2">
      <c r="A48" s="4"/>
      <c r="B48" s="99">
        <v>2035</v>
      </c>
      <c r="C48" s="158">
        <f t="shared" si="8"/>
        <v>43.83088549456474</v>
      </c>
      <c r="D48" s="158">
        <f t="shared" si="9"/>
        <v>231.57212961880603</v>
      </c>
      <c r="E48" s="158">
        <f t="shared" si="10"/>
        <v>0.73331312640567192</v>
      </c>
      <c r="F48" s="158">
        <f t="shared" si="11"/>
        <v>0.96355332317324038</v>
      </c>
      <c r="G48" s="158">
        <f t="shared" si="12"/>
        <v>1.8718694710162305</v>
      </c>
      <c r="H48" s="158">
        <f t="shared" si="13"/>
        <v>0.88966656790394338</v>
      </c>
      <c r="I48" s="219">
        <f t="shared" si="14"/>
        <v>0.86605971939143156</v>
      </c>
      <c r="J48" s="155">
        <f t="shared" si="15"/>
        <v>280.72747732126129</v>
      </c>
      <c r="K48" s="155">
        <f t="shared" si="17"/>
        <v>720.27252267873871</v>
      </c>
      <c r="L48" s="155">
        <f t="shared" si="16"/>
        <v>0.71243572965256052</v>
      </c>
    </row>
    <row r="49" spans="1:12" x14ac:dyDescent="0.2">
      <c r="A49" s="4"/>
      <c r="B49" s="99">
        <v>2040</v>
      </c>
      <c r="C49" s="158">
        <f t="shared" si="8"/>
        <v>40.52354936423334</v>
      </c>
      <c r="D49" s="158">
        <f t="shared" si="9"/>
        <v>220.97188472340827</v>
      </c>
      <c r="E49" s="158">
        <f t="shared" si="10"/>
        <v>0.56498308483534099</v>
      </c>
      <c r="F49" s="158">
        <f t="shared" si="11"/>
        <v>0.89084672180587965</v>
      </c>
      <c r="G49" s="158">
        <f t="shared" si="12"/>
        <v>2.9796109678314595</v>
      </c>
      <c r="H49" s="158">
        <f t="shared" si="13"/>
        <v>1.2869429599245041</v>
      </c>
      <c r="I49" s="219">
        <f t="shared" si="14"/>
        <v>0.68330551180402588</v>
      </c>
      <c r="J49" s="155">
        <f t="shared" si="15"/>
        <v>267.90112333384275</v>
      </c>
      <c r="K49" s="155">
        <f t="shared" si="17"/>
        <v>733.09887666615725</v>
      </c>
      <c r="L49" s="155">
        <f t="shared" si="16"/>
        <v>0.72512252884882022</v>
      </c>
    </row>
    <row r="50" spans="1:12" x14ac:dyDescent="0.2">
      <c r="A50" s="4"/>
      <c r="B50" s="99">
        <v>2045</v>
      </c>
      <c r="C50" s="158">
        <f t="shared" si="8"/>
        <v>40.642307696270507</v>
      </c>
      <c r="D50" s="158">
        <f t="shared" si="9"/>
        <v>193.16470632324322</v>
      </c>
      <c r="E50" s="158">
        <f t="shared" si="10"/>
        <v>0.37444881995844598</v>
      </c>
      <c r="F50" s="158">
        <f t="shared" si="11"/>
        <v>0.82412591746610531</v>
      </c>
      <c r="G50" s="158">
        <f t="shared" si="12"/>
        <v>5.1273572424445248</v>
      </c>
      <c r="H50" s="158">
        <f t="shared" si="13"/>
        <v>1.6815097038176718</v>
      </c>
      <c r="I50" s="219">
        <f t="shared" si="14"/>
        <v>0.56658578519303748</v>
      </c>
      <c r="J50" s="155">
        <f t="shared" si="15"/>
        <v>242.38104148839352</v>
      </c>
      <c r="K50" s="155">
        <f t="shared" si="17"/>
        <v>758.61895851160648</v>
      </c>
      <c r="L50" s="155">
        <f t="shared" si="16"/>
        <v>0.75036494412621813</v>
      </c>
    </row>
    <row r="51" spans="1:12" x14ac:dyDescent="0.2">
      <c r="A51" s="4"/>
      <c r="B51" s="98">
        <v>2050</v>
      </c>
      <c r="C51" s="158">
        <f t="shared" si="8"/>
        <v>39.127738986170151</v>
      </c>
      <c r="D51" s="158">
        <f t="shared" si="9"/>
        <v>160.56292994834126</v>
      </c>
      <c r="E51" s="158">
        <f t="shared" si="10"/>
        <v>0.35056257292456378</v>
      </c>
      <c r="F51" s="158">
        <f t="shared" si="11"/>
        <v>0.7715545800699648</v>
      </c>
      <c r="G51" s="158">
        <f t="shared" si="12"/>
        <v>8.111170170736214</v>
      </c>
      <c r="H51" s="158">
        <f t="shared" si="13"/>
        <v>1.6962146763030266</v>
      </c>
      <c r="I51" s="219">
        <f t="shared" si="14"/>
        <v>0.55191489564393503</v>
      </c>
      <c r="J51" s="155">
        <f t="shared" si="15"/>
        <v>211.1720858301891</v>
      </c>
      <c r="K51" s="155">
        <f t="shared" si="17"/>
        <v>789.82791416981092</v>
      </c>
      <c r="L51" s="155">
        <f t="shared" si="16"/>
        <v>0.7812343364686557</v>
      </c>
    </row>
    <row r="52" spans="1:12" x14ac:dyDescent="0.2">
      <c r="A52" s="4"/>
      <c r="B52" s="226"/>
      <c r="C52" s="225"/>
      <c r="D52" s="225"/>
      <c r="E52" s="225"/>
      <c r="F52" s="225"/>
      <c r="G52" s="225"/>
      <c r="H52" s="225"/>
      <c r="I52" s="224"/>
      <c r="J52" s="151"/>
      <c r="K52" s="151"/>
      <c r="L52" s="151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1:12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2" ht="19" x14ac:dyDescent="0.2">
      <c r="A55" s="4"/>
      <c r="B55" s="330"/>
      <c r="C55" s="330"/>
      <c r="D55" s="330"/>
      <c r="E55" s="330"/>
      <c r="F55" s="330"/>
      <c r="G55" s="330"/>
      <c r="H55" s="330"/>
      <c r="I55" s="330"/>
    </row>
    <row r="56" spans="1:12" x14ac:dyDescent="0.2">
      <c r="A56" s="4"/>
      <c r="B56" s="147"/>
      <c r="C56" s="147"/>
      <c r="D56" s="147"/>
      <c r="E56" s="147"/>
      <c r="F56" s="147"/>
      <c r="G56" s="147"/>
      <c r="H56" s="147"/>
      <c r="I56" s="147"/>
    </row>
    <row r="57" spans="1:12" x14ac:dyDescent="0.2">
      <c r="A57" s="4"/>
      <c r="B57" s="218"/>
      <c r="C57" s="145"/>
      <c r="D57" s="145"/>
      <c r="E57" s="145"/>
      <c r="F57" s="145"/>
      <c r="G57" s="145"/>
      <c r="H57" s="145"/>
      <c r="I57" s="145"/>
      <c r="J57" s="223"/>
      <c r="K57" s="4"/>
    </row>
    <row r="58" spans="1:12" x14ac:dyDescent="0.2">
      <c r="A58" s="4"/>
      <c r="B58" s="218"/>
      <c r="C58" s="145"/>
      <c r="D58" s="145"/>
      <c r="E58" s="145"/>
      <c r="F58" s="145"/>
      <c r="G58" s="145"/>
      <c r="H58" s="145"/>
      <c r="I58" s="145"/>
      <c r="J58" s="223"/>
      <c r="K58" s="4"/>
    </row>
    <row r="59" spans="1:12" x14ac:dyDescent="0.2">
      <c r="A59" s="4"/>
      <c r="B59" s="218"/>
      <c r="C59" s="145"/>
      <c r="D59" s="145"/>
      <c r="E59" s="145"/>
      <c r="F59" s="145"/>
      <c r="G59" s="145"/>
      <c r="H59" s="145"/>
      <c r="I59" s="145"/>
      <c r="J59" s="223"/>
      <c r="K59" s="4"/>
    </row>
    <row r="60" spans="1:12" x14ac:dyDescent="0.2">
      <c r="A60" s="4"/>
      <c r="B60" s="218"/>
      <c r="C60" s="145"/>
      <c r="D60" s="145"/>
      <c r="E60" s="145"/>
      <c r="F60" s="145"/>
      <c r="G60" s="145"/>
      <c r="H60" s="145"/>
      <c r="I60" s="145"/>
      <c r="J60" s="223"/>
      <c r="K60" s="4"/>
    </row>
    <row r="61" spans="1:12" x14ac:dyDescent="0.2">
      <c r="A61" s="4"/>
      <c r="B61" s="218"/>
      <c r="C61" s="145"/>
      <c r="D61" s="145"/>
      <c r="E61" s="145"/>
      <c r="F61" s="145"/>
      <c r="G61" s="145"/>
      <c r="H61" s="145"/>
      <c r="I61" s="145"/>
      <c r="J61" s="223"/>
      <c r="K61" s="4"/>
    </row>
    <row r="62" spans="1:12" x14ac:dyDescent="0.2">
      <c r="A62" s="4"/>
      <c r="B62" s="222"/>
      <c r="C62" s="222"/>
      <c r="D62" s="222"/>
      <c r="E62" s="222"/>
      <c r="F62" s="222"/>
      <c r="G62" s="222"/>
      <c r="H62" s="222"/>
      <c r="I62" s="222"/>
      <c r="J62" s="4"/>
      <c r="K62" s="4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1:12" x14ac:dyDescent="0.2"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2:11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  <c r="K65" s="4"/>
    </row>
    <row r="66" spans="2:11" x14ac:dyDescent="0.2">
      <c r="B66" s="147"/>
      <c r="C66" s="147"/>
      <c r="D66" s="147"/>
      <c r="E66" s="147"/>
      <c r="F66" s="147"/>
      <c r="G66" s="147"/>
      <c r="H66" s="147"/>
      <c r="I66" s="147"/>
      <c r="J66" s="218"/>
      <c r="K66" s="4"/>
    </row>
    <row r="67" spans="2:11" x14ac:dyDescent="0.2">
      <c r="B67" s="218"/>
      <c r="C67" s="145"/>
      <c r="D67" s="145"/>
      <c r="E67" s="145"/>
      <c r="F67" s="145"/>
      <c r="G67" s="145"/>
      <c r="H67" s="145"/>
      <c r="I67" s="145"/>
      <c r="J67" s="145"/>
      <c r="K67" s="4"/>
    </row>
    <row r="68" spans="2:11" x14ac:dyDescent="0.2">
      <c r="B68" s="218"/>
      <c r="C68" s="145"/>
      <c r="D68" s="145"/>
      <c r="E68" s="145"/>
      <c r="F68" s="145"/>
      <c r="G68" s="145"/>
      <c r="H68" s="145"/>
      <c r="I68" s="145"/>
      <c r="J68" s="145"/>
      <c r="K68" s="4"/>
    </row>
    <row r="69" spans="2:11" x14ac:dyDescent="0.2">
      <c r="B69" s="218"/>
      <c r="C69" s="145"/>
      <c r="D69" s="145"/>
      <c r="E69" s="145"/>
      <c r="F69" s="145"/>
      <c r="G69" s="145"/>
      <c r="H69" s="145"/>
      <c r="I69" s="145"/>
      <c r="J69" s="145"/>
      <c r="K69" s="4"/>
    </row>
    <row r="70" spans="2:11" x14ac:dyDescent="0.2">
      <c r="B70" s="218"/>
      <c r="C70" s="145"/>
      <c r="D70" s="145"/>
      <c r="E70" s="145"/>
      <c r="F70" s="145"/>
      <c r="G70" s="145"/>
      <c r="H70" s="145"/>
      <c r="I70" s="145"/>
      <c r="J70" s="145"/>
      <c r="K70" s="4"/>
    </row>
    <row r="71" spans="2:11" x14ac:dyDescent="0.2">
      <c r="B71" s="218"/>
      <c r="C71" s="145"/>
      <c r="D71" s="145"/>
      <c r="E71" s="145"/>
      <c r="F71" s="145"/>
      <c r="G71" s="145"/>
      <c r="H71" s="145"/>
      <c r="I71" s="145"/>
      <c r="J71" s="145"/>
      <c r="K71" s="4"/>
    </row>
    <row r="72" spans="2:11" x14ac:dyDescent="0.2">
      <c r="B72" s="222"/>
      <c r="C72" s="222"/>
      <c r="D72" s="222"/>
      <c r="E72" s="222"/>
      <c r="F72" s="222"/>
      <c r="G72" s="222"/>
      <c r="H72" s="222"/>
      <c r="I72" s="222"/>
      <c r="J72" s="218"/>
      <c r="K72" s="4"/>
    </row>
  </sheetData>
  <mergeCells count="9">
    <mergeCell ref="L42:L43"/>
    <mergeCell ref="B2:I2"/>
    <mergeCell ref="B55:I55"/>
    <mergeCell ref="B65:I65"/>
    <mergeCell ref="B17:I17"/>
    <mergeCell ref="B29:I29"/>
    <mergeCell ref="B42:I42"/>
    <mergeCell ref="J42:J43"/>
    <mergeCell ref="K42:K4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CA98-1413-432E-8EC7-748F55F7B2F5}">
  <sheetPr>
    <tabColor theme="6"/>
  </sheetPr>
  <dimension ref="A1:U72"/>
  <sheetViews>
    <sheetView workbookViewId="0">
      <selection activeCell="J4" sqref="J4:J10"/>
    </sheetView>
  </sheetViews>
  <sheetFormatPr baseColWidth="10" defaultColWidth="11" defaultRowHeight="16" x14ac:dyDescent="0.2"/>
  <cols>
    <col min="3" max="3" width="12.1640625" bestFit="1" customWidth="1"/>
    <col min="10" max="10" width="15.6640625" customWidth="1"/>
  </cols>
  <sheetData>
    <row r="1" spans="1:11" x14ac:dyDescent="0.2">
      <c r="A1" s="4" t="s">
        <v>614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68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35" t="s">
        <v>527</v>
      </c>
      <c r="J3" s="39" t="s">
        <v>460</v>
      </c>
      <c r="K3" s="213"/>
    </row>
    <row r="4" spans="1:11" x14ac:dyDescent="0.2">
      <c r="A4" s="4"/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A5" s="4"/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A6" s="4"/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A7" s="4"/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A8" s="4"/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A9" s="4"/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A10" s="4"/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A12" s="4"/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20" ht="19" x14ac:dyDescent="0.2">
      <c r="A17" s="4"/>
      <c r="B17" s="331" t="s">
        <v>613</v>
      </c>
      <c r="C17" s="332"/>
      <c r="D17" s="332"/>
      <c r="E17" s="332"/>
      <c r="F17" s="332"/>
      <c r="G17" s="332"/>
      <c r="H17" s="332"/>
      <c r="I17" s="332"/>
      <c r="J17" s="191"/>
      <c r="K17" s="4"/>
      <c r="L17" s="166" t="s">
        <v>551</v>
      </c>
      <c r="T17" s="165"/>
    </row>
    <row r="18" spans="1:20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80" t="s">
        <v>520</v>
      </c>
      <c r="J18" s="182" t="s">
        <v>463</v>
      </c>
      <c r="K18" s="4"/>
      <c r="L18" s="166" t="s">
        <v>550</v>
      </c>
      <c r="T18" s="165"/>
    </row>
    <row r="19" spans="1:20" x14ac:dyDescent="0.2">
      <c r="A19" s="4"/>
      <c r="B19" s="189"/>
      <c r="C19" s="188"/>
      <c r="D19" s="188"/>
      <c r="E19" s="188"/>
      <c r="F19" s="188"/>
      <c r="G19" s="188"/>
      <c r="H19" s="188"/>
      <c r="I19" s="188"/>
      <c r="J19" s="182"/>
      <c r="K19" s="4"/>
      <c r="T19" s="165"/>
    </row>
    <row r="20" spans="1:20" x14ac:dyDescent="0.2">
      <c r="A20" s="4"/>
      <c r="B20" s="99">
        <v>2020</v>
      </c>
      <c r="C20" s="184">
        <f>M25/1000</f>
        <v>0</v>
      </c>
      <c r="D20" s="184">
        <f>M24/1000</f>
        <v>0.87198412181839524</v>
      </c>
      <c r="E20" s="184">
        <f>M26/1000</f>
        <v>5.9081507611730161E-3</v>
      </c>
      <c r="F20" s="184">
        <f>M28/1000</f>
        <v>1.7646103418548918E-2</v>
      </c>
      <c r="G20" s="184">
        <f>M31/1000</f>
        <v>3.2661186033176343E-3</v>
      </c>
      <c r="H20" s="184">
        <f>M29/1000</f>
        <v>8.4118249162740014E-4</v>
      </c>
      <c r="I20" s="184">
        <f>(M23+M30+M32)/1000</f>
        <v>0.29101948573794406</v>
      </c>
      <c r="J20" s="182">
        <f t="shared" ref="J20:J26" si="2">SUM(C20:I20)</f>
        <v>1.1906651628310061</v>
      </c>
      <c r="K20" s="4"/>
      <c r="L20" s="169" t="s">
        <v>612</v>
      </c>
      <c r="T20" s="165"/>
    </row>
    <row r="21" spans="1:20" x14ac:dyDescent="0.2">
      <c r="A21" s="4"/>
      <c r="B21" s="99">
        <v>2025</v>
      </c>
      <c r="C21" s="184">
        <f>N25/1000</f>
        <v>0</v>
      </c>
      <c r="D21" s="184">
        <f>N24/1000</f>
        <v>0.93296438614973554</v>
      </c>
      <c r="E21" s="184">
        <f>N26/1000</f>
        <v>4.1254747298234411E-2</v>
      </c>
      <c r="F21" s="184">
        <f>N28/1000</f>
        <v>1.7759571524209518E-2</v>
      </c>
      <c r="G21" s="184">
        <f>N31/1000</f>
        <v>3.3604243215581149E-2</v>
      </c>
      <c r="H21" s="184">
        <f>N29/1000</f>
        <v>1.4005397550797669E-2</v>
      </c>
      <c r="I21" s="184">
        <f>(N23+N30+N32)/1000</f>
        <v>0.29119050862269225</v>
      </c>
      <c r="J21" s="182">
        <f t="shared" si="2"/>
        <v>1.3307788543612504</v>
      </c>
      <c r="K21" s="4"/>
      <c r="L21" s="166" t="s">
        <v>544</v>
      </c>
      <c r="T21" s="165"/>
    </row>
    <row r="22" spans="1:20" ht="16" customHeight="1" thickBot="1" x14ac:dyDescent="0.25">
      <c r="A22" s="4"/>
      <c r="B22" s="99">
        <v>2030</v>
      </c>
      <c r="C22" s="184">
        <f>O25/1000</f>
        <v>8.701607882869113E-3</v>
      </c>
      <c r="D22" s="184">
        <f>O24/1000</f>
        <v>0.93296438614973554</v>
      </c>
      <c r="E22" s="184">
        <f>O26/1000</f>
        <v>5.7667013030309543E-2</v>
      </c>
      <c r="F22" s="184">
        <f>O28/1000</f>
        <v>2.5459961747657012E-2</v>
      </c>
      <c r="G22" s="184">
        <f>O31/1000</f>
        <v>8.2388887715376863E-2</v>
      </c>
      <c r="H22" s="184">
        <f>O29/1000</f>
        <v>4.6097783000819716E-2</v>
      </c>
      <c r="I22" s="250">
        <f>(P23+P30+P32)/1000</f>
        <v>7.7832553696557116E-2</v>
      </c>
      <c r="J22" s="182">
        <f t="shared" si="2"/>
        <v>1.2311121932233251</v>
      </c>
      <c r="K22" s="4"/>
      <c r="L22" s="160" t="s">
        <v>543</v>
      </c>
      <c r="M22" s="160">
        <v>2020</v>
      </c>
      <c r="N22" s="160">
        <v>2025</v>
      </c>
      <c r="O22" s="160">
        <v>2030</v>
      </c>
      <c r="P22" s="160">
        <v>2035</v>
      </c>
      <c r="Q22" s="160">
        <v>2040</v>
      </c>
      <c r="R22" s="160">
        <v>2045</v>
      </c>
      <c r="S22" s="160">
        <v>2050</v>
      </c>
      <c r="T22" s="159" t="s">
        <v>542</v>
      </c>
    </row>
    <row r="23" spans="1:20" ht="17" thickTop="1" x14ac:dyDescent="0.2">
      <c r="A23" s="4"/>
      <c r="B23" s="99">
        <v>2035</v>
      </c>
      <c r="C23" s="184">
        <f>P25/1000</f>
        <v>6.0193556883170102E-5</v>
      </c>
      <c r="D23" s="184">
        <f>P24/1000</f>
        <v>0.83617806094240998</v>
      </c>
      <c r="E23" s="184">
        <f>P26/1000</f>
        <v>7.3448558824176891E-2</v>
      </c>
      <c r="F23" s="184">
        <f>P28/1000</f>
        <v>2.5460713491163217E-2</v>
      </c>
      <c r="G23" s="184">
        <f>P31/1000</f>
        <v>0.25002828420079781</v>
      </c>
      <c r="H23" s="184">
        <f>P29/1000</f>
        <v>5.4299624919895088E-2</v>
      </c>
      <c r="I23" s="250">
        <f>(P23+P30+P32)/1000</f>
        <v>7.7832553696557116E-2</v>
      </c>
      <c r="J23" s="182">
        <f t="shared" si="2"/>
        <v>1.3173079896318831</v>
      </c>
      <c r="K23" s="4"/>
      <c r="L23" s="150" t="s">
        <v>541</v>
      </c>
      <c r="M23" s="150">
        <v>291.01948573794408</v>
      </c>
      <c r="N23" s="150">
        <v>291.19050862269222</v>
      </c>
      <c r="O23" s="150">
        <v>156.34480672869381</v>
      </c>
      <c r="P23" s="150">
        <v>76.282840506574829</v>
      </c>
      <c r="Q23" s="150">
        <v>33.416208933189942</v>
      </c>
      <c r="R23" s="150">
        <v>13.31517832968577</v>
      </c>
      <c r="S23" s="150">
        <v>4.220616782918702</v>
      </c>
      <c r="T23" s="149">
        <v>-13.16093706347359</v>
      </c>
    </row>
    <row r="24" spans="1:20" x14ac:dyDescent="0.2">
      <c r="A24" s="4"/>
      <c r="B24" s="99">
        <v>2040</v>
      </c>
      <c r="C24" s="184">
        <f>Q25/1000</f>
        <v>1.011788480750898E-2</v>
      </c>
      <c r="D24" s="184">
        <f>Q24/1000</f>
        <v>0.83629440599738292</v>
      </c>
      <c r="E24" s="184">
        <f>Q26/1000</f>
        <v>8.263867392381298E-2</v>
      </c>
      <c r="F24" s="184">
        <f>Q28/1000</f>
        <v>2.5462416913055619E-2</v>
      </c>
      <c r="G24" s="184">
        <f>Q31/1000</f>
        <v>0.4005803960381154</v>
      </c>
      <c r="H24" s="184">
        <f>Q29/1000</f>
        <v>5.9364753829577038E-2</v>
      </c>
      <c r="I24" s="249">
        <f>(Q23+Q30+Q32)/1000</f>
        <v>3.4869679521899448E-2</v>
      </c>
      <c r="J24" s="182">
        <f t="shared" si="2"/>
        <v>1.4493282110313523</v>
      </c>
      <c r="K24" s="4"/>
      <c r="L24" s="150" t="s">
        <v>540</v>
      </c>
      <c r="M24" s="150">
        <v>871.98412181839524</v>
      </c>
      <c r="N24" s="150">
        <v>932.96438614973556</v>
      </c>
      <c r="O24" s="150">
        <v>932.96438614973556</v>
      </c>
      <c r="P24" s="150">
        <v>836.17806094240996</v>
      </c>
      <c r="Q24" s="150">
        <v>836.29440599738291</v>
      </c>
      <c r="R24" s="150">
        <v>877.82906553685052</v>
      </c>
      <c r="S24" s="150">
        <v>951.31543336230641</v>
      </c>
      <c r="T24" s="149">
        <v>0.29066989044472802</v>
      </c>
    </row>
    <row r="25" spans="1:20" x14ac:dyDescent="0.2">
      <c r="A25" s="4"/>
      <c r="B25" s="99">
        <v>2045</v>
      </c>
      <c r="C25" s="184">
        <f>R25/1000</f>
        <v>3.2602445231653426E-2</v>
      </c>
      <c r="D25" s="184">
        <f>R24/1000</f>
        <v>0.87782906553685047</v>
      </c>
      <c r="E25" s="184">
        <f>R26/1000</f>
        <v>8.263867392381298E-2</v>
      </c>
      <c r="F25" s="184">
        <f>S28/1000</f>
        <v>2.5494955678257061E-2</v>
      </c>
      <c r="G25" s="184">
        <f>R31/1000</f>
        <v>0.45818115128524234</v>
      </c>
      <c r="H25" s="184">
        <f>R29/1000</f>
        <v>6.443021024763726E-2</v>
      </c>
      <c r="I25" s="249">
        <f>(R23+R30+R32)/1000</f>
        <v>1.4882181412327042E-2</v>
      </c>
      <c r="J25" s="182">
        <f t="shared" si="2"/>
        <v>1.5560586833157806</v>
      </c>
      <c r="K25" s="4"/>
      <c r="L25" s="150" t="s">
        <v>446</v>
      </c>
      <c r="M25" s="150">
        <v>0</v>
      </c>
      <c r="N25" s="150">
        <v>0</v>
      </c>
      <c r="O25" s="150">
        <v>8.7016078828691121</v>
      </c>
      <c r="P25" s="150">
        <v>6.0193556883170102E-2</v>
      </c>
      <c r="Q25" s="150">
        <v>10.117884807508981</v>
      </c>
      <c r="R25" s="150">
        <v>32.602445231653427</v>
      </c>
      <c r="S25" s="150">
        <v>31.536418827791021</v>
      </c>
      <c r="T25" s="149" t="s">
        <v>16</v>
      </c>
    </row>
    <row r="26" spans="1:20" x14ac:dyDescent="0.2">
      <c r="A26" s="4"/>
      <c r="B26" s="98">
        <v>2050</v>
      </c>
      <c r="C26" s="180">
        <f>S25/1000</f>
        <v>3.153641882779102E-2</v>
      </c>
      <c r="D26" s="180">
        <f>S24/1000</f>
        <v>0.9513154333623064</v>
      </c>
      <c r="E26" s="180">
        <f>S26/1000</f>
        <v>8.263867392381298E-2</v>
      </c>
      <c r="F26" s="180">
        <f>S28/1000</f>
        <v>2.5494955678257061E-2</v>
      </c>
      <c r="G26" s="180">
        <f>S31/1000</f>
        <v>0.48984809429752141</v>
      </c>
      <c r="H26" s="180">
        <f>S29/1000</f>
        <v>6.8942986393115357E-2</v>
      </c>
      <c r="I26" s="180">
        <f>(S23+S30+S32)/1000</f>
        <v>5.7948597811451324E-3</v>
      </c>
      <c r="J26" s="178">
        <f t="shared" si="2"/>
        <v>1.6555714222639495</v>
      </c>
      <c r="K26" s="4"/>
      <c r="L26" s="150" t="s">
        <v>454</v>
      </c>
      <c r="M26" s="150">
        <v>5.9081507611730162</v>
      </c>
      <c r="N26" s="150">
        <v>41.254747298234413</v>
      </c>
      <c r="O26" s="150">
        <v>57.667013030309541</v>
      </c>
      <c r="P26" s="150">
        <v>73.448558824176885</v>
      </c>
      <c r="Q26" s="150">
        <v>82.638673923812973</v>
      </c>
      <c r="R26" s="150">
        <v>82.638673923812973</v>
      </c>
      <c r="S26" s="150">
        <v>82.638673923812973</v>
      </c>
      <c r="T26" s="149">
        <v>9.1920599056747534</v>
      </c>
    </row>
    <row r="27" spans="1:20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150" t="s">
        <v>539</v>
      </c>
      <c r="M27" s="150">
        <v>21.753404513493951</v>
      </c>
      <c r="N27" s="150">
        <v>65.369212290588337</v>
      </c>
      <c r="O27" s="150">
        <v>155.48020401270969</v>
      </c>
      <c r="P27" s="150">
        <v>331.33833580183853</v>
      </c>
      <c r="Q27" s="150">
        <v>486.958755776945</v>
      </c>
      <c r="R27" s="150">
        <v>549.65312501724247</v>
      </c>
      <c r="S27" s="150">
        <v>585.86027936712026</v>
      </c>
      <c r="T27" s="149">
        <v>11.602920746441489</v>
      </c>
    </row>
    <row r="28" spans="1:20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150" t="s">
        <v>538</v>
      </c>
      <c r="M28" s="150">
        <v>17.646103418548918</v>
      </c>
      <c r="N28" s="150">
        <v>17.75957152420952</v>
      </c>
      <c r="O28" s="150">
        <v>25.459961747657012</v>
      </c>
      <c r="P28" s="150">
        <v>25.460713491163219</v>
      </c>
      <c r="Q28" s="150">
        <v>25.46241691305562</v>
      </c>
      <c r="R28" s="150">
        <v>25.474760401721639</v>
      </c>
      <c r="S28" s="150">
        <v>25.49495567825706</v>
      </c>
      <c r="T28" s="149">
        <v>1.2341050874892461</v>
      </c>
    </row>
    <row r="29" spans="1:20" ht="19" x14ac:dyDescent="0.2">
      <c r="A29" s="4"/>
      <c r="B29" s="331" t="s">
        <v>611</v>
      </c>
      <c r="C29" s="332"/>
      <c r="D29" s="332"/>
      <c r="E29" s="332"/>
      <c r="F29" s="332"/>
      <c r="G29" s="332"/>
      <c r="H29" s="332"/>
      <c r="I29" s="338"/>
      <c r="J29" s="4"/>
      <c r="K29" s="4"/>
      <c r="L29" s="150" t="s">
        <v>537</v>
      </c>
      <c r="M29" s="150">
        <v>0.84118249162740011</v>
      </c>
      <c r="N29" s="150">
        <v>14.005397550797669</v>
      </c>
      <c r="O29" s="150">
        <v>46.097783000819717</v>
      </c>
      <c r="P29" s="150">
        <v>54.299624919895088</v>
      </c>
      <c r="Q29" s="150">
        <v>59.36475382957704</v>
      </c>
      <c r="R29" s="150">
        <v>64.430210247637262</v>
      </c>
      <c r="S29" s="150">
        <v>68.942986393115362</v>
      </c>
      <c r="T29" s="149">
        <v>15.82082716441235</v>
      </c>
    </row>
    <row r="30" spans="1:20" x14ac:dyDescent="0.2">
      <c r="A30" s="4"/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K30" s="4"/>
      <c r="L30" s="150" t="s">
        <v>536</v>
      </c>
      <c r="M30" s="150">
        <v>0</v>
      </c>
      <c r="N30" s="150">
        <v>0</v>
      </c>
      <c r="O30" s="150">
        <v>1.4450835476714461</v>
      </c>
      <c r="P30" s="150">
        <v>1.45199478249488</v>
      </c>
      <c r="Q30" s="150">
        <v>1.4534705887095081</v>
      </c>
      <c r="R30" s="150">
        <v>1.4534705887095081</v>
      </c>
      <c r="S30" s="150">
        <v>1.4534705887095081</v>
      </c>
      <c r="T30" s="149" t="s">
        <v>16</v>
      </c>
    </row>
    <row r="31" spans="1:20" x14ac:dyDescent="0.2">
      <c r="A31" s="4"/>
      <c r="B31" s="189"/>
      <c r="C31" s="175"/>
      <c r="D31" s="175"/>
      <c r="E31" s="175"/>
      <c r="F31" s="175"/>
      <c r="G31" s="175"/>
      <c r="H31" s="175"/>
      <c r="I31" s="174"/>
      <c r="J31" s="8"/>
      <c r="K31" s="4"/>
      <c r="L31" s="150" t="s">
        <v>535</v>
      </c>
      <c r="M31" s="150">
        <v>3.2661186033176342</v>
      </c>
      <c r="N31" s="150">
        <v>33.60424321558115</v>
      </c>
      <c r="O31" s="150">
        <v>82.388887715376868</v>
      </c>
      <c r="P31" s="150">
        <v>250.0282842007978</v>
      </c>
      <c r="Q31" s="150">
        <v>400.5803960381154</v>
      </c>
      <c r="R31" s="150">
        <v>458.18115128524232</v>
      </c>
      <c r="S31" s="150">
        <v>489.84809429752141</v>
      </c>
      <c r="T31" s="149">
        <v>18.17736865343516</v>
      </c>
    </row>
    <row r="32" spans="1:20" x14ac:dyDescent="0.2">
      <c r="A32" s="4"/>
      <c r="B32" s="99">
        <v>2020</v>
      </c>
      <c r="C32" s="171">
        <f t="shared" ref="C32:C38" si="3">C20/J20</f>
        <v>0</v>
      </c>
      <c r="D32" s="171">
        <f t="shared" ref="D32:D38" si="4">D20/J20</f>
        <v>0.73235041138274903</v>
      </c>
      <c r="E32" s="171">
        <f t="shared" ref="E32:E38" si="5">E20/J20</f>
        <v>4.9620589781306755E-3</v>
      </c>
      <c r="F32" s="171">
        <f t="shared" ref="F32:F38" si="6">F20/J20</f>
        <v>1.482037433311003E-2</v>
      </c>
      <c r="G32" s="171">
        <f t="shared" ref="G32:G38" si="7">G20/J20</f>
        <v>2.7431041952650143E-3</v>
      </c>
      <c r="H32" s="171">
        <f t="shared" ref="H32:H38" si="8">H20/J20</f>
        <v>7.064811484257654E-4</v>
      </c>
      <c r="I32" s="170">
        <f t="shared" ref="I32:I38" si="9">I20/J20</f>
        <v>0.24441756996231959</v>
      </c>
      <c r="J32" s="4"/>
      <c r="K32" s="4"/>
      <c r="L32" s="150" t="s">
        <v>534</v>
      </c>
      <c r="M32" s="150">
        <v>0</v>
      </c>
      <c r="N32" s="150">
        <v>0</v>
      </c>
      <c r="O32" s="150">
        <v>8.8488001184624396E-2</v>
      </c>
      <c r="P32" s="150">
        <v>9.7718407487409398E-2</v>
      </c>
      <c r="Q32" s="150">
        <v>0</v>
      </c>
      <c r="R32" s="150">
        <v>0.1135324939317621</v>
      </c>
      <c r="S32" s="150">
        <v>0.120772409516922</v>
      </c>
      <c r="T32" s="149" t="s">
        <v>16</v>
      </c>
    </row>
    <row r="33" spans="1:21" ht="17" thickBot="1" x14ac:dyDescent="0.25">
      <c r="A33" s="4"/>
      <c r="B33" s="99">
        <v>2025</v>
      </c>
      <c r="C33" s="171">
        <f t="shared" si="3"/>
        <v>0</v>
      </c>
      <c r="D33" s="171">
        <f t="shared" si="4"/>
        <v>0.70106643421046955</v>
      </c>
      <c r="E33" s="171">
        <f t="shared" si="5"/>
        <v>3.1000452977618085E-2</v>
      </c>
      <c r="F33" s="171">
        <f t="shared" si="6"/>
        <v>1.3345246256361496E-2</v>
      </c>
      <c r="G33" s="171">
        <f t="shared" si="7"/>
        <v>2.5251560847583929E-2</v>
      </c>
      <c r="H33" s="171">
        <f t="shared" si="8"/>
        <v>1.052421107000532E-2</v>
      </c>
      <c r="I33" s="170">
        <f t="shared" si="9"/>
        <v>0.21881209463796175</v>
      </c>
      <c r="J33" s="4"/>
      <c r="K33" s="4"/>
      <c r="L33" s="150" t="s">
        <v>533</v>
      </c>
      <c r="M33" s="150">
        <v>1190.665162831006</v>
      </c>
      <c r="N33" s="150">
        <v>1330.778854361251</v>
      </c>
      <c r="O33" s="150">
        <v>1311.158017804318</v>
      </c>
      <c r="P33" s="150">
        <v>1317.3079896318829</v>
      </c>
      <c r="Q33" s="150">
        <v>1449.4259294388401</v>
      </c>
      <c r="R33" s="150">
        <v>1556.0384880392451</v>
      </c>
      <c r="S33" s="150">
        <v>1655.571422263949</v>
      </c>
      <c r="T33" s="149">
        <v>1.1048391224369509</v>
      </c>
    </row>
    <row r="34" spans="1:21" ht="17" customHeight="1" thickBot="1" x14ac:dyDescent="0.25">
      <c r="A34" s="4"/>
      <c r="B34" s="99">
        <v>2030</v>
      </c>
      <c r="C34" s="171">
        <f t="shared" si="3"/>
        <v>7.0680868330012811E-3</v>
      </c>
      <c r="D34" s="171">
        <f t="shared" si="4"/>
        <v>0.75782239123716877</v>
      </c>
      <c r="E34" s="171">
        <f t="shared" si="5"/>
        <v>4.6841395404690532E-2</v>
      </c>
      <c r="F34" s="171">
        <f t="shared" si="6"/>
        <v>2.0680456166222494E-2</v>
      </c>
      <c r="G34" s="171">
        <f t="shared" si="7"/>
        <v>6.6922322895417399E-2</v>
      </c>
      <c r="H34" s="171">
        <f t="shared" si="8"/>
        <v>3.7444014651601722E-2</v>
      </c>
      <c r="I34" s="170">
        <f t="shared" si="9"/>
        <v>6.3221332811897679E-2</v>
      </c>
      <c r="J34" s="4"/>
      <c r="K34" s="4"/>
      <c r="L34" s="146" t="s">
        <v>532</v>
      </c>
      <c r="M34" s="146"/>
      <c r="N34" s="146"/>
      <c r="O34" s="146"/>
      <c r="P34" s="146"/>
      <c r="Q34" s="146"/>
      <c r="R34" s="146"/>
      <c r="S34" s="146"/>
      <c r="T34" s="146"/>
    </row>
    <row r="35" spans="1:21" ht="17" thickBot="1" x14ac:dyDescent="0.25">
      <c r="A35" s="4"/>
      <c r="B35" s="99">
        <v>2035</v>
      </c>
      <c r="C35" s="171">
        <f t="shared" si="3"/>
        <v>4.5694368634316845E-5</v>
      </c>
      <c r="D35" s="171">
        <f t="shared" si="4"/>
        <v>0.63476276430698408</v>
      </c>
      <c r="E35" s="171">
        <f t="shared" si="5"/>
        <v>5.5756557617707779E-2</v>
      </c>
      <c r="F35" s="171">
        <f t="shared" si="6"/>
        <v>1.9327836535993469E-2</v>
      </c>
      <c r="G35" s="171">
        <f t="shared" si="7"/>
        <v>0.18980245027639078</v>
      </c>
      <c r="H35" s="171">
        <f t="shared" si="8"/>
        <v>4.1220143920230011E-2</v>
      </c>
      <c r="I35" s="170">
        <f t="shared" si="9"/>
        <v>5.9084552974059727E-2</v>
      </c>
      <c r="J35" s="4"/>
      <c r="K35" s="4"/>
      <c r="L35" s="146"/>
      <c r="M35" s="146"/>
      <c r="N35" s="146"/>
      <c r="O35" s="146"/>
      <c r="P35" s="146"/>
      <c r="Q35" s="146"/>
      <c r="R35" s="146"/>
      <c r="S35" s="146"/>
      <c r="T35" s="146"/>
    </row>
    <row r="36" spans="1:21" ht="17" thickBot="1" x14ac:dyDescent="0.25">
      <c r="A36" s="4"/>
      <c r="B36" s="99">
        <v>2040</v>
      </c>
      <c r="C36" s="171">
        <f t="shared" si="3"/>
        <v>6.9810859476122531E-3</v>
      </c>
      <c r="D36" s="171">
        <f t="shared" si="4"/>
        <v>0.57702209867444021</v>
      </c>
      <c r="E36" s="171">
        <f t="shared" si="5"/>
        <v>5.7018605789096392E-2</v>
      </c>
      <c r="F36" s="171">
        <f t="shared" si="6"/>
        <v>1.756842702657142E-2</v>
      </c>
      <c r="G36" s="171">
        <f t="shared" si="7"/>
        <v>0.27639039452151387</v>
      </c>
      <c r="H36" s="171">
        <f t="shared" si="8"/>
        <v>4.0960186504154679E-2</v>
      </c>
      <c r="I36" s="170">
        <f t="shared" si="9"/>
        <v>2.4059201536611181E-2</v>
      </c>
      <c r="J36" s="4"/>
      <c r="K36" s="4"/>
      <c r="L36" s="146"/>
      <c r="M36" s="146"/>
      <c r="N36" s="146"/>
      <c r="O36" s="146"/>
      <c r="P36" s="146"/>
      <c r="Q36" s="146"/>
      <c r="R36" s="146"/>
      <c r="S36" s="146"/>
      <c r="T36" s="146"/>
    </row>
    <row r="37" spans="1:21" ht="17" thickBot="1" x14ac:dyDescent="0.25">
      <c r="A37" s="4"/>
      <c r="B37" s="99">
        <v>2045</v>
      </c>
      <c r="C37" s="171">
        <f t="shared" si="3"/>
        <v>2.0951938112116309E-2</v>
      </c>
      <c r="D37" s="171">
        <f t="shared" si="4"/>
        <v>0.56413622117791762</v>
      </c>
      <c r="E37" s="171">
        <f t="shared" si="5"/>
        <v>5.3107684697160359E-2</v>
      </c>
      <c r="F37" s="171">
        <f t="shared" si="6"/>
        <v>1.6384315033627309E-2</v>
      </c>
      <c r="G37" s="171">
        <f t="shared" si="7"/>
        <v>0.29444978920005216</v>
      </c>
      <c r="H37" s="171">
        <f t="shared" si="8"/>
        <v>4.1406028537653836E-2</v>
      </c>
      <c r="I37" s="170">
        <f t="shared" si="9"/>
        <v>9.5640232414723834E-3</v>
      </c>
      <c r="J37" s="4"/>
      <c r="K37" s="4"/>
      <c r="L37" s="146"/>
      <c r="M37" s="146"/>
      <c r="N37" s="146"/>
      <c r="O37" s="146"/>
      <c r="P37" s="146"/>
      <c r="Q37" s="146"/>
      <c r="R37" s="146"/>
      <c r="S37" s="146"/>
      <c r="T37" s="146"/>
    </row>
    <row r="38" spans="1:21" ht="17" thickBot="1" x14ac:dyDescent="0.25">
      <c r="A38" s="4"/>
      <c r="B38" s="98">
        <v>2050</v>
      </c>
      <c r="C38" s="171">
        <f t="shared" si="3"/>
        <v>1.9048661026454427E-2</v>
      </c>
      <c r="D38" s="171">
        <f t="shared" si="4"/>
        <v>0.57461455336152645</v>
      </c>
      <c r="E38" s="171">
        <f t="shared" si="5"/>
        <v>4.9915499151831702E-2</v>
      </c>
      <c r="F38" s="171">
        <f t="shared" si="6"/>
        <v>1.5399490070560287E-2</v>
      </c>
      <c r="G38" s="171">
        <f t="shared" si="7"/>
        <v>0.29587856356427517</v>
      </c>
      <c r="H38" s="171">
        <f t="shared" si="8"/>
        <v>4.1643015496629965E-2</v>
      </c>
      <c r="I38" s="170">
        <f t="shared" si="9"/>
        <v>3.5002173287219571E-3</v>
      </c>
      <c r="J38" s="4"/>
      <c r="K38" s="4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1:21" ht="17" thickBot="1" x14ac:dyDescent="0.25">
      <c r="A39" s="4"/>
      <c r="B39" s="226"/>
      <c r="C39" s="225"/>
      <c r="D39" s="225"/>
      <c r="E39" s="225"/>
      <c r="F39" s="225"/>
      <c r="G39" s="225"/>
      <c r="H39" s="225"/>
      <c r="I39" s="224"/>
      <c r="J39" s="4"/>
      <c r="K39" s="4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1:21" ht="17" thickBo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1:21" ht="17" thickBo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1:21" ht="20" thickBot="1" x14ac:dyDescent="0.25">
      <c r="A42" s="4"/>
      <c r="B42" s="331" t="s">
        <v>610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1:21" ht="17" thickBot="1" x14ac:dyDescent="0.25">
      <c r="A43" s="4"/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1:21" x14ac:dyDescent="0.2">
      <c r="A44" s="4"/>
      <c r="B44" s="189"/>
      <c r="C44" s="158"/>
      <c r="D44" s="158"/>
      <c r="E44" s="158"/>
      <c r="F44" s="158"/>
      <c r="G44" s="158"/>
      <c r="H44" s="158"/>
      <c r="I44" s="220"/>
      <c r="J44" s="155"/>
      <c r="K44" s="155"/>
      <c r="L44" s="151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1:21" x14ac:dyDescent="0.2">
      <c r="A45" s="4"/>
      <c r="B45" s="99">
        <v>2020</v>
      </c>
      <c r="C45" s="158">
        <f t="shared" ref="C45:C51" si="10">C32*$J$8</f>
        <v>0</v>
      </c>
      <c r="D45" s="158">
        <f t="shared" ref="D45:D51" si="11">D32*$J$9</f>
        <v>343.47234293850931</v>
      </c>
      <c r="E45" s="158">
        <f t="shared" ref="E45:E51" si="12">E32*$J$4</f>
        <v>7.9392943650090808E-2</v>
      </c>
      <c r="F45" s="158">
        <f t="shared" ref="F45:F51" si="13">F32*$J$7</f>
        <v>5.928149733244012E-2</v>
      </c>
      <c r="G45" s="158">
        <f t="shared" ref="G45:G51" si="14">G32*$J$5</f>
        <v>9.6008646834275499E-2</v>
      </c>
      <c r="H45" s="158">
        <f t="shared" ref="H45:H51" si="15">H32*$J$6</f>
        <v>8.4777737811091852E-3</v>
      </c>
      <c r="I45" s="219">
        <f t="shared" ref="I45:I51" si="16">I32*$J$10</f>
        <v>4.3995162593217527</v>
      </c>
      <c r="J45" s="155">
        <f t="shared" ref="J45:J51" si="17">SUM(C45:I45)</f>
        <v>348.11502005942896</v>
      </c>
      <c r="K45" s="155">
        <f>$J$8-J45</f>
        <v>652.88497994057104</v>
      </c>
      <c r="L45" s="155">
        <f t="shared" ref="L45:L51" si="18">K45/1011</f>
        <v>0.64578138470877455</v>
      </c>
    </row>
    <row r="46" spans="1:21" x14ac:dyDescent="0.2">
      <c r="A46" s="4"/>
      <c r="B46" s="99">
        <v>2025</v>
      </c>
      <c r="C46" s="158">
        <f t="shared" si="10"/>
        <v>0</v>
      </c>
      <c r="D46" s="158">
        <f t="shared" si="11"/>
        <v>328.80015764471023</v>
      </c>
      <c r="E46" s="158">
        <f t="shared" si="12"/>
        <v>0.49600724764188936</v>
      </c>
      <c r="F46" s="158">
        <f t="shared" si="13"/>
        <v>5.3380985025445984E-2</v>
      </c>
      <c r="G46" s="158">
        <f t="shared" si="14"/>
        <v>0.88380462966543749</v>
      </c>
      <c r="H46" s="158">
        <f t="shared" si="15"/>
        <v>0.12629053284006383</v>
      </c>
      <c r="I46" s="219">
        <f t="shared" si="16"/>
        <v>3.9386177034833114</v>
      </c>
      <c r="J46" s="155">
        <f t="shared" si="17"/>
        <v>334.29825874336643</v>
      </c>
      <c r="K46" s="155">
        <f t="shared" ref="K46:K51" si="19">$J$8-J46</f>
        <v>666.70174125663357</v>
      </c>
      <c r="L46" s="155">
        <f t="shared" si="18"/>
        <v>0.65944781528846053</v>
      </c>
    </row>
    <row r="47" spans="1:21" x14ac:dyDescent="0.2">
      <c r="A47" s="4"/>
      <c r="B47" s="99">
        <v>2030</v>
      </c>
      <c r="C47" s="158">
        <f t="shared" si="10"/>
        <v>7.075154919834282</v>
      </c>
      <c r="D47" s="158">
        <f t="shared" si="11"/>
        <v>355.41870149023214</v>
      </c>
      <c r="E47" s="158">
        <f t="shared" si="12"/>
        <v>0.74946232647504851</v>
      </c>
      <c r="F47" s="158">
        <f t="shared" si="13"/>
        <v>8.2721824664889976E-2</v>
      </c>
      <c r="G47" s="158">
        <f t="shared" si="14"/>
        <v>2.3422813013396091</v>
      </c>
      <c r="H47" s="158">
        <f t="shared" si="15"/>
        <v>0.44932817581922069</v>
      </c>
      <c r="I47" s="219">
        <f t="shared" si="16"/>
        <v>1.1379839906141582</v>
      </c>
      <c r="J47" s="155">
        <f t="shared" si="17"/>
        <v>367.25563402897933</v>
      </c>
      <c r="K47" s="155">
        <f t="shared" si="19"/>
        <v>633.74436597102067</v>
      </c>
      <c r="L47" s="155">
        <f t="shared" si="18"/>
        <v>0.62684902667756748</v>
      </c>
    </row>
    <row r="48" spans="1:21" x14ac:dyDescent="0.2">
      <c r="A48" s="4"/>
      <c r="B48" s="99">
        <v>2035</v>
      </c>
      <c r="C48" s="158">
        <f t="shared" si="10"/>
        <v>4.5740063002951165E-2</v>
      </c>
      <c r="D48" s="158">
        <f t="shared" si="11"/>
        <v>297.70373645997552</v>
      </c>
      <c r="E48" s="158">
        <f t="shared" si="12"/>
        <v>0.89210492188332446</v>
      </c>
      <c r="F48" s="158">
        <f t="shared" si="13"/>
        <v>7.7311346143973877E-2</v>
      </c>
      <c r="G48" s="158">
        <f t="shared" si="14"/>
        <v>6.643085759673677</v>
      </c>
      <c r="H48" s="158">
        <f t="shared" si="15"/>
        <v>0.4946417270427601</v>
      </c>
      <c r="I48" s="219">
        <f t="shared" si="16"/>
        <v>1.0635219535330751</v>
      </c>
      <c r="J48" s="155">
        <f t="shared" si="17"/>
        <v>306.92014223125528</v>
      </c>
      <c r="K48" s="155">
        <f t="shared" si="19"/>
        <v>694.07985776874466</v>
      </c>
      <c r="L48" s="155">
        <f t="shared" si="18"/>
        <v>0.68652804922724497</v>
      </c>
    </row>
    <row r="49" spans="1:12" x14ac:dyDescent="0.2">
      <c r="A49" s="4"/>
      <c r="B49" s="99">
        <v>2040</v>
      </c>
      <c r="C49" s="158">
        <f t="shared" si="10"/>
        <v>6.9880670335598651</v>
      </c>
      <c r="D49" s="158">
        <f t="shared" si="11"/>
        <v>270.62336427831247</v>
      </c>
      <c r="E49" s="158">
        <f t="shared" si="12"/>
        <v>0.91229769262554228</v>
      </c>
      <c r="F49" s="158">
        <f t="shared" si="13"/>
        <v>7.0273708106285679E-2</v>
      </c>
      <c r="G49" s="158">
        <f t="shared" si="14"/>
        <v>9.6736638082529858</v>
      </c>
      <c r="H49" s="158">
        <f t="shared" si="15"/>
        <v>0.49152223804985617</v>
      </c>
      <c r="I49" s="219">
        <f t="shared" si="16"/>
        <v>0.43306562765900125</v>
      </c>
      <c r="J49" s="155">
        <f t="shared" si="17"/>
        <v>289.19225438656599</v>
      </c>
      <c r="K49" s="155">
        <f t="shared" si="19"/>
        <v>711.80774561343401</v>
      </c>
      <c r="L49" s="155">
        <f t="shared" si="18"/>
        <v>0.70406305204098318</v>
      </c>
    </row>
    <row r="50" spans="1:12" x14ac:dyDescent="0.2">
      <c r="A50" s="4"/>
      <c r="B50" s="99">
        <v>2045</v>
      </c>
      <c r="C50" s="158">
        <f t="shared" si="10"/>
        <v>20.972890050228425</v>
      </c>
      <c r="D50" s="158">
        <f t="shared" si="11"/>
        <v>264.57988773244335</v>
      </c>
      <c r="E50" s="158">
        <f t="shared" si="12"/>
        <v>0.84972295515456575</v>
      </c>
      <c r="F50" s="158">
        <f t="shared" si="13"/>
        <v>6.5537260134509237E-2</v>
      </c>
      <c r="G50" s="158">
        <f t="shared" si="14"/>
        <v>10.305742622001826</v>
      </c>
      <c r="H50" s="158">
        <f t="shared" si="15"/>
        <v>0.49687234245184603</v>
      </c>
      <c r="I50" s="219">
        <f t="shared" si="16"/>
        <v>0.17215241834650291</v>
      </c>
      <c r="J50" s="155">
        <f t="shared" si="17"/>
        <v>297.44280538076111</v>
      </c>
      <c r="K50" s="155">
        <f t="shared" si="19"/>
        <v>703.55719461923889</v>
      </c>
      <c r="L50" s="155">
        <f t="shared" si="18"/>
        <v>0.69590226965305524</v>
      </c>
    </row>
    <row r="51" spans="1:12" x14ac:dyDescent="0.2">
      <c r="A51" s="4"/>
      <c r="B51" s="98">
        <v>2050</v>
      </c>
      <c r="C51" s="158">
        <f t="shared" si="10"/>
        <v>19.067709687480882</v>
      </c>
      <c r="D51" s="158">
        <f t="shared" si="11"/>
        <v>269.49422552655591</v>
      </c>
      <c r="E51" s="158">
        <f t="shared" si="12"/>
        <v>0.79864798642930723</v>
      </c>
      <c r="F51" s="158">
        <f t="shared" si="13"/>
        <v>6.1597960282241147E-2</v>
      </c>
      <c r="G51" s="158">
        <f t="shared" si="14"/>
        <v>10.35574972474963</v>
      </c>
      <c r="H51" s="158">
        <f t="shared" si="15"/>
        <v>0.49971618595955958</v>
      </c>
      <c r="I51" s="219">
        <f t="shared" si="16"/>
        <v>6.3003911916995226E-2</v>
      </c>
      <c r="J51" s="155">
        <f t="shared" si="17"/>
        <v>300.34065098337459</v>
      </c>
      <c r="K51" s="155">
        <f t="shared" si="19"/>
        <v>700.65934901662536</v>
      </c>
      <c r="L51" s="155">
        <f t="shared" si="18"/>
        <v>0.69303595352781933</v>
      </c>
    </row>
    <row r="52" spans="1:12" x14ac:dyDescent="0.2">
      <c r="A52" s="4"/>
      <c r="B52" s="226"/>
      <c r="C52" s="225"/>
      <c r="D52" s="225"/>
      <c r="E52" s="225"/>
      <c r="F52" s="225"/>
      <c r="G52" s="225"/>
      <c r="H52" s="225"/>
      <c r="I52" s="224"/>
      <c r="J52" s="151"/>
      <c r="K52" s="151"/>
      <c r="L52" s="151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1:12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2" ht="19" x14ac:dyDescent="0.2">
      <c r="A55" s="4"/>
      <c r="B55" s="330"/>
      <c r="C55" s="330"/>
      <c r="D55" s="330"/>
      <c r="E55" s="330"/>
      <c r="F55" s="330"/>
      <c r="G55" s="330"/>
      <c r="H55" s="330"/>
      <c r="I55" s="330"/>
      <c r="J55" s="4"/>
      <c r="K55" s="4"/>
    </row>
    <row r="56" spans="1:12" x14ac:dyDescent="0.2">
      <c r="A56" s="4"/>
      <c r="B56" s="147"/>
      <c r="C56" s="147"/>
      <c r="D56" s="147"/>
      <c r="E56" s="147"/>
      <c r="F56" s="147"/>
      <c r="G56" s="147"/>
      <c r="H56" s="147"/>
      <c r="I56" s="147"/>
      <c r="J56" s="4"/>
      <c r="K56" s="4"/>
    </row>
    <row r="57" spans="1:12" x14ac:dyDescent="0.2">
      <c r="A57" s="4"/>
      <c r="B57" s="218"/>
      <c r="C57" s="145"/>
      <c r="D57" s="145"/>
      <c r="E57" s="145"/>
      <c r="F57" s="145"/>
      <c r="G57" s="145"/>
      <c r="H57" s="145"/>
      <c r="I57" s="145"/>
      <c r="J57" s="223"/>
      <c r="K57" s="4"/>
    </row>
    <row r="58" spans="1:12" x14ac:dyDescent="0.2">
      <c r="A58" s="4"/>
      <c r="B58" s="218"/>
      <c r="C58" s="145"/>
      <c r="D58" s="145"/>
      <c r="E58" s="145"/>
      <c r="F58" s="145"/>
      <c r="G58" s="145"/>
      <c r="H58" s="145"/>
      <c r="I58" s="145"/>
      <c r="J58" s="223"/>
      <c r="K58" s="4"/>
    </row>
    <row r="59" spans="1:12" x14ac:dyDescent="0.2">
      <c r="A59" s="4"/>
      <c r="B59" s="218"/>
      <c r="C59" s="145"/>
      <c r="D59" s="145"/>
      <c r="E59" s="145"/>
      <c r="F59" s="145"/>
      <c r="G59" s="145"/>
      <c r="H59" s="145"/>
      <c r="I59" s="145"/>
      <c r="J59" s="223"/>
      <c r="K59" s="4"/>
    </row>
    <row r="60" spans="1:12" x14ac:dyDescent="0.2">
      <c r="A60" s="4"/>
      <c r="B60" s="218"/>
      <c r="C60" s="145"/>
      <c r="D60" s="145"/>
      <c r="E60" s="145"/>
      <c r="F60" s="145"/>
      <c r="G60" s="145"/>
      <c r="H60" s="145"/>
      <c r="I60" s="145"/>
      <c r="J60" s="223"/>
      <c r="K60" s="4"/>
    </row>
    <row r="61" spans="1:12" x14ac:dyDescent="0.2">
      <c r="A61" s="4"/>
      <c r="B61" s="218"/>
      <c r="C61" s="145"/>
      <c r="D61" s="145"/>
      <c r="E61" s="145"/>
      <c r="F61" s="145"/>
      <c r="G61" s="145"/>
      <c r="H61" s="145"/>
      <c r="I61" s="145"/>
      <c r="J61" s="223"/>
      <c r="K61" s="4"/>
    </row>
    <row r="62" spans="1:12" x14ac:dyDescent="0.2">
      <c r="A62" s="4"/>
      <c r="B62" s="222"/>
      <c r="C62" s="222"/>
      <c r="D62" s="222"/>
      <c r="E62" s="222"/>
      <c r="F62" s="222"/>
      <c r="G62" s="222"/>
      <c r="H62" s="222"/>
      <c r="I62" s="222"/>
      <c r="J62" s="4"/>
      <c r="K62" s="4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1:12" x14ac:dyDescent="0.2"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2:11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  <c r="K65" s="4"/>
    </row>
    <row r="66" spans="2:11" x14ac:dyDescent="0.2">
      <c r="B66" s="147"/>
      <c r="C66" s="147"/>
      <c r="D66" s="147"/>
      <c r="E66" s="147"/>
      <c r="F66" s="147"/>
      <c r="G66" s="147"/>
      <c r="H66" s="147"/>
      <c r="I66" s="147"/>
      <c r="J66" s="218"/>
      <c r="K66" s="4"/>
    </row>
    <row r="67" spans="2:11" x14ac:dyDescent="0.2">
      <c r="B67" s="218"/>
      <c r="C67" s="145"/>
      <c r="D67" s="145"/>
      <c r="E67" s="145"/>
      <c r="F67" s="145"/>
      <c r="G67" s="145"/>
      <c r="H67" s="145"/>
      <c r="I67" s="145"/>
      <c r="J67" s="145"/>
      <c r="K67" s="4"/>
    </row>
    <row r="68" spans="2:11" x14ac:dyDescent="0.2">
      <c r="B68" s="218"/>
      <c r="C68" s="145"/>
      <c r="D68" s="145"/>
      <c r="E68" s="145"/>
      <c r="F68" s="145"/>
      <c r="G68" s="145"/>
      <c r="H68" s="145"/>
      <c r="I68" s="145"/>
      <c r="J68" s="145"/>
      <c r="K68" s="4"/>
    </row>
    <row r="69" spans="2:11" x14ac:dyDescent="0.2">
      <c r="B69" s="218"/>
      <c r="C69" s="145"/>
      <c r="D69" s="145"/>
      <c r="E69" s="145"/>
      <c r="F69" s="145"/>
      <c r="G69" s="145"/>
      <c r="H69" s="145"/>
      <c r="I69" s="145"/>
      <c r="J69" s="145"/>
      <c r="K69" s="4"/>
    </row>
    <row r="70" spans="2:11" x14ac:dyDescent="0.2">
      <c r="B70" s="218"/>
      <c r="C70" s="145"/>
      <c r="D70" s="145"/>
      <c r="E70" s="145"/>
      <c r="F70" s="145"/>
      <c r="G70" s="145"/>
      <c r="H70" s="145"/>
      <c r="I70" s="145"/>
      <c r="J70" s="145"/>
      <c r="K70" s="4"/>
    </row>
    <row r="71" spans="2:11" x14ac:dyDescent="0.2">
      <c r="B71" s="218"/>
      <c r="C71" s="145"/>
      <c r="D71" s="145"/>
      <c r="E71" s="145"/>
      <c r="F71" s="145"/>
      <c r="G71" s="145"/>
      <c r="H71" s="145"/>
      <c r="I71" s="145"/>
      <c r="J71" s="145"/>
      <c r="K71" s="4"/>
    </row>
    <row r="72" spans="2:11" x14ac:dyDescent="0.2">
      <c r="B72" s="222"/>
      <c r="C72" s="222"/>
      <c r="D72" s="222"/>
      <c r="E72" s="222"/>
      <c r="F72" s="222"/>
      <c r="G72" s="222"/>
      <c r="H72" s="222"/>
      <c r="I72" s="222"/>
      <c r="J72" s="218"/>
      <c r="K72" s="4"/>
    </row>
  </sheetData>
  <mergeCells count="9">
    <mergeCell ref="J42:J43"/>
    <mergeCell ref="K42:K43"/>
    <mergeCell ref="L42:L43"/>
    <mergeCell ref="B2:I2"/>
    <mergeCell ref="B65:I65"/>
    <mergeCell ref="B17:I17"/>
    <mergeCell ref="B29:I29"/>
    <mergeCell ref="B42:I42"/>
    <mergeCell ref="B55:I5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483D-C1FC-443E-AA7B-5B84D63CFE65}">
  <sheetPr>
    <tabColor theme="6"/>
  </sheetPr>
  <dimension ref="A1:L73"/>
  <sheetViews>
    <sheetView topLeftCell="F5" workbookViewId="0">
      <selection activeCell="J4" sqref="J4:J10"/>
    </sheetView>
  </sheetViews>
  <sheetFormatPr baseColWidth="10" defaultColWidth="11" defaultRowHeight="16" x14ac:dyDescent="0.2"/>
  <cols>
    <col min="5" max="5" width="14.5" customWidth="1"/>
    <col min="6" max="6" width="14.83203125" customWidth="1"/>
    <col min="10" max="10" width="13" customWidth="1"/>
  </cols>
  <sheetData>
    <row r="1" spans="1:10" x14ac:dyDescent="0.2">
      <c r="A1" t="s">
        <v>618</v>
      </c>
    </row>
    <row r="2" spans="1:10" x14ac:dyDescent="0.2">
      <c r="B2" s="321" t="s">
        <v>461</v>
      </c>
      <c r="C2" s="321"/>
      <c r="D2" s="321"/>
      <c r="E2" s="321"/>
      <c r="F2" s="321"/>
      <c r="G2" s="321"/>
      <c r="H2" s="321"/>
      <c r="I2" s="321"/>
    </row>
    <row r="3" spans="1:10" ht="85" x14ac:dyDescent="0.2">
      <c r="B3" s="96" t="s">
        <v>459</v>
      </c>
      <c r="C3" s="81" t="s">
        <v>458</v>
      </c>
      <c r="D3" s="81" t="s">
        <v>457</v>
      </c>
      <c r="E3" s="81" t="s">
        <v>456</v>
      </c>
      <c r="F3" s="81" t="s">
        <v>455</v>
      </c>
      <c r="G3" s="95"/>
      <c r="H3" s="81" t="s">
        <v>528</v>
      </c>
      <c r="I3" s="256" t="s">
        <v>527</v>
      </c>
      <c r="J3" s="37" t="s">
        <v>460</v>
      </c>
    </row>
    <row r="4" spans="1:10" x14ac:dyDescent="0.2">
      <c r="B4" s="90" t="s">
        <v>454</v>
      </c>
      <c r="C4" s="94" t="s">
        <v>607</v>
      </c>
      <c r="D4" s="87">
        <f>4*1000000000000</f>
        <v>4000000000000</v>
      </c>
      <c r="E4" s="93">
        <f t="shared" ref="E4:E10" si="0">D4/1000000</f>
        <v>4000000</v>
      </c>
      <c r="F4" s="206">
        <v>1.0101010000000001E-2</v>
      </c>
      <c r="G4" s="87"/>
      <c r="H4" s="92">
        <f>X48</f>
        <v>0</v>
      </c>
      <c r="I4" s="91">
        <f t="shared" ref="I4:I10" si="1">J4*H4</f>
        <v>0</v>
      </c>
      <c r="J4" s="85">
        <v>16</v>
      </c>
    </row>
    <row r="5" spans="1:10" x14ac:dyDescent="0.2">
      <c r="B5" s="90" t="s">
        <v>452</v>
      </c>
      <c r="C5" s="94" t="s">
        <v>608</v>
      </c>
      <c r="D5" s="87">
        <f>6*1000000000000</f>
        <v>6000000000000</v>
      </c>
      <c r="E5" s="93">
        <f t="shared" si="0"/>
        <v>6000000</v>
      </c>
      <c r="F5" s="206">
        <v>1.5151515000000001E-2</v>
      </c>
      <c r="G5" s="87"/>
      <c r="H5" s="92">
        <f>Z48</f>
        <v>0</v>
      </c>
      <c r="I5" s="91">
        <f t="shared" si="1"/>
        <v>0</v>
      </c>
      <c r="J5" s="85">
        <v>35</v>
      </c>
    </row>
    <row r="6" spans="1:10" x14ac:dyDescent="0.2">
      <c r="B6" s="90" t="s">
        <v>450</v>
      </c>
      <c r="C6" s="94" t="s">
        <v>607</v>
      </c>
      <c r="D6" s="87">
        <f>4*1000000000000</f>
        <v>4000000000000</v>
      </c>
      <c r="E6" s="93">
        <f t="shared" si="0"/>
        <v>4000000</v>
      </c>
      <c r="F6" s="206">
        <v>1.0101010000000001E-2</v>
      </c>
      <c r="G6" s="87"/>
      <c r="H6" s="92">
        <f>AA48</f>
        <v>0</v>
      </c>
      <c r="I6" s="91">
        <f t="shared" si="1"/>
        <v>0</v>
      </c>
      <c r="J6" s="85">
        <v>12</v>
      </c>
    </row>
    <row r="7" spans="1:10" x14ac:dyDescent="0.2">
      <c r="B7" s="90" t="s">
        <v>448</v>
      </c>
      <c r="C7" s="94" t="s">
        <v>606</v>
      </c>
      <c r="D7" s="87">
        <f>97*1000000000000</f>
        <v>97000000000000</v>
      </c>
      <c r="E7" s="93">
        <f t="shared" si="0"/>
        <v>97000000</v>
      </c>
      <c r="F7" s="206">
        <v>0.24494949499999999</v>
      </c>
      <c r="G7" s="87"/>
      <c r="H7" s="92">
        <f>Y48</f>
        <v>0</v>
      </c>
      <c r="I7" s="91">
        <f t="shared" si="1"/>
        <v>0</v>
      </c>
      <c r="J7" s="85">
        <v>4</v>
      </c>
    </row>
    <row r="8" spans="1:10" x14ac:dyDescent="0.2">
      <c r="B8" s="90" t="s">
        <v>446</v>
      </c>
      <c r="C8" s="253" t="s">
        <v>445</v>
      </c>
      <c r="D8" s="87">
        <f>109*1000000000000</f>
        <v>109000000000000</v>
      </c>
      <c r="E8" s="93">
        <f t="shared" si="0"/>
        <v>109000000</v>
      </c>
      <c r="F8" s="206">
        <v>0.27525252500000003</v>
      </c>
      <c r="G8" s="87"/>
      <c r="H8" s="92">
        <f>V48</f>
        <v>0</v>
      </c>
      <c r="I8" s="91">
        <f t="shared" si="1"/>
        <v>0</v>
      </c>
      <c r="J8" s="85">
        <v>1001</v>
      </c>
    </row>
    <row r="9" spans="1:10" x14ac:dyDescent="0.2">
      <c r="B9" s="90" t="s">
        <v>444</v>
      </c>
      <c r="C9" s="253" t="s">
        <v>443</v>
      </c>
      <c r="D9" s="87">
        <f>78*1000000000000</f>
        <v>78000000000000</v>
      </c>
      <c r="E9" s="93">
        <f t="shared" si="0"/>
        <v>78000000</v>
      </c>
      <c r="F9" s="206">
        <v>0.196969697</v>
      </c>
      <c r="G9" s="87"/>
      <c r="H9" s="92">
        <f>W48</f>
        <v>0</v>
      </c>
      <c r="I9" s="91">
        <f t="shared" si="1"/>
        <v>0</v>
      </c>
      <c r="J9" s="85">
        <v>469</v>
      </c>
    </row>
    <row r="10" spans="1:10" x14ac:dyDescent="0.2">
      <c r="B10" s="90" t="s">
        <v>442</v>
      </c>
      <c r="C10" s="94" t="s">
        <v>605</v>
      </c>
      <c r="D10" s="87">
        <f>98*1000000000000</f>
        <v>98000000000000</v>
      </c>
      <c r="E10" s="93">
        <f t="shared" si="0"/>
        <v>98000000</v>
      </c>
      <c r="F10" s="206">
        <v>0.24747474699999999</v>
      </c>
      <c r="G10" s="87"/>
      <c r="H10" s="92">
        <f>AB48</f>
        <v>0</v>
      </c>
      <c r="I10" s="91">
        <f t="shared" si="1"/>
        <v>0</v>
      </c>
      <c r="J10" s="85">
        <v>18</v>
      </c>
    </row>
    <row r="11" spans="1:10" x14ac:dyDescent="0.2">
      <c r="B11" s="90"/>
      <c r="C11" s="89"/>
      <c r="D11" s="87"/>
      <c r="E11" s="88"/>
      <c r="F11" s="87"/>
      <c r="G11" s="87"/>
      <c r="H11" s="87"/>
      <c r="I11" s="86"/>
      <c r="J11" s="27"/>
    </row>
    <row r="12" spans="1:10" x14ac:dyDescent="0.2">
      <c r="B12" s="90"/>
      <c r="C12" s="89"/>
      <c r="D12" s="87"/>
      <c r="E12" s="88">
        <f>SUM(E4:E11)</f>
        <v>396000000</v>
      </c>
      <c r="F12" s="87">
        <f>SUM(F4:F11)</f>
        <v>0.99999999899999992</v>
      </c>
      <c r="G12" s="87"/>
      <c r="H12" s="87"/>
      <c r="I12" s="86">
        <f>SUM(I4:I11)</f>
        <v>0</v>
      </c>
      <c r="J12" s="27">
        <f>SUM(J4:J11)</f>
        <v>1555</v>
      </c>
    </row>
    <row r="13" spans="1:10" ht="51" x14ac:dyDescent="0.2">
      <c r="B13" s="84"/>
      <c r="C13" s="83"/>
      <c r="D13" s="82"/>
      <c r="E13" s="82"/>
      <c r="F13" s="82"/>
      <c r="G13" s="81" t="s">
        <v>440</v>
      </c>
      <c r="H13" s="80"/>
      <c r="I13" s="79">
        <f>I12/7</f>
        <v>0</v>
      </c>
      <c r="J13" s="255">
        <f>J12/7</f>
        <v>222.14285714285714</v>
      </c>
    </row>
    <row r="14" spans="1:10" x14ac:dyDescent="0.2">
      <c r="B14" s="27"/>
      <c r="C14" s="77"/>
      <c r="D14" s="27"/>
      <c r="E14" s="27"/>
      <c r="F14" s="27"/>
      <c r="G14" s="27"/>
      <c r="H14" s="27"/>
      <c r="I14" s="27"/>
      <c r="J14" s="27"/>
    </row>
    <row r="18" spans="2:11" ht="19" x14ac:dyDescent="0.2">
      <c r="B18" s="331" t="s">
        <v>617</v>
      </c>
      <c r="C18" s="332"/>
      <c r="D18" s="332"/>
      <c r="E18" s="332"/>
      <c r="F18" s="332"/>
      <c r="G18" s="332"/>
      <c r="H18" s="332"/>
      <c r="I18" s="333"/>
      <c r="J18" s="191"/>
    </row>
    <row r="19" spans="2:11" x14ac:dyDescent="0.2">
      <c r="B19" s="96" t="s">
        <v>270</v>
      </c>
      <c r="C19" s="168" t="s">
        <v>446</v>
      </c>
      <c r="D19" s="168" t="s">
        <v>444</v>
      </c>
      <c r="E19" s="168" t="s">
        <v>454</v>
      </c>
      <c r="F19" s="168" t="s">
        <v>521</v>
      </c>
      <c r="G19" s="168" t="s">
        <v>452</v>
      </c>
      <c r="H19" s="168" t="s">
        <v>450</v>
      </c>
      <c r="I19" s="167" t="s">
        <v>520</v>
      </c>
      <c r="J19" s="221" t="s">
        <v>463</v>
      </c>
    </row>
    <row r="20" spans="2:11" x14ac:dyDescent="0.2">
      <c r="B20" s="189"/>
      <c r="C20" s="188"/>
      <c r="D20" s="188"/>
      <c r="E20" s="188"/>
      <c r="F20" s="188"/>
      <c r="G20" s="188"/>
      <c r="H20" s="188"/>
      <c r="I20" s="187"/>
      <c r="J20" s="182"/>
    </row>
    <row r="21" spans="2:11" x14ac:dyDescent="0.2">
      <c r="B21" s="99">
        <v>2020</v>
      </c>
      <c r="C21" s="184">
        <v>8.4542670141464988</v>
      </c>
      <c r="D21" s="184">
        <v>24.258086890628348</v>
      </c>
      <c r="E21" s="184">
        <v>80.730362607702901</v>
      </c>
      <c r="F21" s="184">
        <v>12.816000000000001</v>
      </c>
      <c r="G21" s="184">
        <v>3.0547715471894499</v>
      </c>
      <c r="H21" s="184">
        <v>13.554</v>
      </c>
      <c r="I21" s="183">
        <v>6.6784058266640969</v>
      </c>
      <c r="J21" s="182">
        <f t="shared" ref="J21:J27" si="2">SUM(C21:I21)</f>
        <v>149.5458938863313</v>
      </c>
    </row>
    <row r="22" spans="2:11" x14ac:dyDescent="0.2">
      <c r="B22" s="99">
        <v>2025</v>
      </c>
      <c r="C22" s="276">
        <f>+C21</f>
        <v>8.4542670141464988</v>
      </c>
      <c r="D22" s="276">
        <f t="shared" ref="D22:I22" si="3">+D21</f>
        <v>24.258086890628348</v>
      </c>
      <c r="E22" s="276">
        <f t="shared" si="3"/>
        <v>80.730362607702901</v>
      </c>
      <c r="F22" s="276">
        <f t="shared" si="3"/>
        <v>12.816000000000001</v>
      </c>
      <c r="G22" s="276">
        <f t="shared" si="3"/>
        <v>3.0547715471894499</v>
      </c>
      <c r="H22" s="276">
        <f t="shared" si="3"/>
        <v>13.554</v>
      </c>
      <c r="I22" s="276">
        <f t="shared" si="3"/>
        <v>6.6784058266640969</v>
      </c>
      <c r="J22" s="182">
        <f t="shared" si="2"/>
        <v>149.5458938863313</v>
      </c>
      <c r="K22" s="277" t="s">
        <v>644</v>
      </c>
    </row>
    <row r="23" spans="2:11" x14ac:dyDescent="0.2">
      <c r="B23" s="99">
        <v>2030</v>
      </c>
      <c r="C23" s="184">
        <v>2.72512039351068</v>
      </c>
      <c r="D23" s="184">
        <v>33.850721824805838</v>
      </c>
      <c r="E23" s="184">
        <v>89.171413010983002</v>
      </c>
      <c r="F23" s="184">
        <v>26.133794877761002</v>
      </c>
      <c r="G23" s="184">
        <v>3.0547715471894499</v>
      </c>
      <c r="H23" s="184">
        <v>10.8499</v>
      </c>
      <c r="I23" s="183">
        <v>4.7431107119731841</v>
      </c>
      <c r="J23" s="182">
        <f t="shared" si="2"/>
        <v>170.52883236622316</v>
      </c>
    </row>
    <row r="24" spans="2:11" x14ac:dyDescent="0.2">
      <c r="B24" s="99">
        <v>2035</v>
      </c>
      <c r="C24" s="276">
        <f>+C23</f>
        <v>2.72512039351068</v>
      </c>
      <c r="D24" s="276">
        <f t="shared" ref="D24" si="4">+D23</f>
        <v>33.850721824805838</v>
      </c>
      <c r="E24" s="276">
        <f t="shared" ref="E24" si="5">+E23</f>
        <v>89.171413010983002</v>
      </c>
      <c r="F24" s="276">
        <f t="shared" ref="F24" si="6">+F23</f>
        <v>26.133794877761002</v>
      </c>
      <c r="G24" s="276">
        <f t="shared" ref="G24" si="7">+G23</f>
        <v>3.0547715471894499</v>
      </c>
      <c r="H24" s="276">
        <f t="shared" ref="H24" si="8">+H23</f>
        <v>10.8499</v>
      </c>
      <c r="I24" s="276">
        <f t="shared" ref="I24" si="9">+I23</f>
        <v>4.7431107119731841</v>
      </c>
      <c r="J24" s="182">
        <f t="shared" si="2"/>
        <v>170.52883236622316</v>
      </c>
      <c r="K24" s="277" t="s">
        <v>644</v>
      </c>
    </row>
    <row r="25" spans="2:11" x14ac:dyDescent="0.2">
      <c r="B25" s="99">
        <v>2040</v>
      </c>
      <c r="C25" s="184">
        <v>8.9511173687606399E-6</v>
      </c>
      <c r="D25" s="184">
        <v>47.699439153593467</v>
      </c>
      <c r="E25" s="184">
        <v>89.171413010983002</v>
      </c>
      <c r="F25" s="184">
        <v>44.133794877760998</v>
      </c>
      <c r="G25" s="184">
        <v>3.0547715471894499</v>
      </c>
      <c r="H25" s="184">
        <v>7.1798999999999999</v>
      </c>
      <c r="I25" s="183">
        <v>4.320204791940685</v>
      </c>
      <c r="J25" s="182">
        <f t="shared" si="2"/>
        <v>195.55953233258498</v>
      </c>
    </row>
    <row r="26" spans="2:11" x14ac:dyDescent="0.2">
      <c r="B26" s="99">
        <v>2045</v>
      </c>
      <c r="C26" s="276">
        <f>+C25</f>
        <v>8.9511173687606399E-6</v>
      </c>
      <c r="D26" s="276">
        <f t="shared" ref="D26" si="10">+D25</f>
        <v>47.699439153593467</v>
      </c>
      <c r="E26" s="276">
        <f t="shared" ref="E26" si="11">+E25</f>
        <v>89.171413010983002</v>
      </c>
      <c r="F26" s="276">
        <f t="shared" ref="F26" si="12">+F25</f>
        <v>44.133794877760998</v>
      </c>
      <c r="G26" s="276">
        <f t="shared" ref="G26" si="13">+G25</f>
        <v>3.0547715471894499</v>
      </c>
      <c r="H26" s="276">
        <f t="shared" ref="H26" si="14">+H25</f>
        <v>7.1798999999999999</v>
      </c>
      <c r="I26" s="276">
        <f t="shared" ref="I26" si="15">+I25</f>
        <v>4.320204791940685</v>
      </c>
      <c r="J26" s="182">
        <f t="shared" si="2"/>
        <v>195.55953233258498</v>
      </c>
      <c r="K26" s="277" t="s">
        <v>644</v>
      </c>
    </row>
    <row r="27" spans="2:11" x14ac:dyDescent="0.2">
      <c r="B27" s="98">
        <v>2050</v>
      </c>
      <c r="C27" s="180">
        <v>8.9511173688134795E-6</v>
      </c>
      <c r="D27" s="180">
        <v>62.102592880950311</v>
      </c>
      <c r="E27" s="180">
        <v>89.171413010983002</v>
      </c>
      <c r="F27" s="180">
        <v>62.133794877760998</v>
      </c>
      <c r="G27" s="180">
        <v>3.0547715471894499</v>
      </c>
      <c r="H27" s="180">
        <v>3.9199000000000002</v>
      </c>
      <c r="I27" s="179">
        <v>4.3207918826615312</v>
      </c>
      <c r="J27" s="182">
        <f t="shared" si="2"/>
        <v>224.70327315066268</v>
      </c>
    </row>
    <row r="30" spans="2:11" ht="19" x14ac:dyDescent="0.2">
      <c r="B30" s="331" t="s">
        <v>616</v>
      </c>
      <c r="C30" s="332"/>
      <c r="D30" s="332"/>
      <c r="E30" s="332"/>
      <c r="F30" s="332"/>
      <c r="G30" s="332"/>
      <c r="H30" s="332"/>
      <c r="I30" s="333"/>
    </row>
    <row r="31" spans="2:11" x14ac:dyDescent="0.2">
      <c r="B31" s="96" t="s">
        <v>270</v>
      </c>
      <c r="C31" s="168" t="s">
        <v>446</v>
      </c>
      <c r="D31" s="168" t="s">
        <v>444</v>
      </c>
      <c r="E31" s="168" t="s">
        <v>454</v>
      </c>
      <c r="F31" s="168" t="s">
        <v>521</v>
      </c>
      <c r="G31" s="168" t="s">
        <v>452</v>
      </c>
      <c r="H31" s="168" t="s">
        <v>450</v>
      </c>
      <c r="I31" s="167" t="s">
        <v>520</v>
      </c>
      <c r="J31" s="28"/>
    </row>
    <row r="32" spans="2:11" x14ac:dyDescent="0.2">
      <c r="B32" s="101"/>
      <c r="C32" s="175"/>
      <c r="D32" s="175"/>
      <c r="E32" s="175"/>
      <c r="F32" s="175"/>
      <c r="G32" s="175"/>
      <c r="H32" s="175"/>
      <c r="I32" s="174"/>
      <c r="J32" s="21"/>
    </row>
    <row r="33" spans="2:12" x14ac:dyDescent="0.2">
      <c r="B33" s="99">
        <v>2020</v>
      </c>
      <c r="C33" s="171">
        <f t="shared" ref="C33:C39" si="16">C21/J21</f>
        <v>5.6532926411022179E-2</v>
      </c>
      <c r="D33" s="171">
        <f t="shared" ref="D33:D39" si="17">D21/J21</f>
        <v>0.16221165463136511</v>
      </c>
      <c r="E33" s="171">
        <f t="shared" ref="E33:E39" si="18">E21/J21</f>
        <v>0.53983670503895909</v>
      </c>
      <c r="F33" s="171">
        <f t="shared" ref="F33:F39" si="19">F21/J21</f>
        <v>8.569944427722867E-2</v>
      </c>
      <c r="G33" s="171">
        <f t="shared" ref="G33:G39" si="20">G21/J21</f>
        <v>2.0426983769352827E-2</v>
      </c>
      <c r="H33" s="171">
        <f t="shared" ref="H33:H39" si="21">H21/J21</f>
        <v>9.0634384186451103E-2</v>
      </c>
      <c r="I33" s="170">
        <f t="shared" ref="I33:I39" si="22">I21/J21</f>
        <v>4.4657901685621018E-2</v>
      </c>
    </row>
    <row r="34" spans="2:12" x14ac:dyDescent="0.2">
      <c r="B34" s="99">
        <v>2025</v>
      </c>
      <c r="C34" s="171">
        <f t="shared" si="16"/>
        <v>5.6532926411022179E-2</v>
      </c>
      <c r="D34" s="171">
        <f t="shared" si="17"/>
        <v>0.16221165463136511</v>
      </c>
      <c r="E34" s="171">
        <f t="shared" si="18"/>
        <v>0.53983670503895909</v>
      </c>
      <c r="F34" s="171">
        <f t="shared" si="19"/>
        <v>8.569944427722867E-2</v>
      </c>
      <c r="G34" s="171">
        <f t="shared" si="20"/>
        <v>2.0426983769352827E-2</v>
      </c>
      <c r="H34" s="171">
        <f t="shared" si="21"/>
        <v>9.0634384186451103E-2</v>
      </c>
      <c r="I34" s="170">
        <f t="shared" si="22"/>
        <v>4.4657901685621018E-2</v>
      </c>
    </row>
    <row r="35" spans="2:12" x14ac:dyDescent="0.2">
      <c r="B35" s="99">
        <v>2030</v>
      </c>
      <c r="C35" s="171">
        <f t="shared" si="16"/>
        <v>1.5980408448808728E-2</v>
      </c>
      <c r="D35" s="171">
        <f t="shared" si="17"/>
        <v>0.19850438987413538</v>
      </c>
      <c r="E35" s="171">
        <f t="shared" si="18"/>
        <v>0.52291106303643042</v>
      </c>
      <c r="F35" s="171">
        <f t="shared" si="19"/>
        <v>0.15325147375451889</v>
      </c>
      <c r="G35" s="171">
        <f t="shared" si="20"/>
        <v>1.7913519401980684E-2</v>
      </c>
      <c r="H35" s="171">
        <f t="shared" si="21"/>
        <v>6.3625017830996722E-2</v>
      </c>
      <c r="I35" s="170">
        <f t="shared" si="22"/>
        <v>2.78141276531291E-2</v>
      </c>
    </row>
    <row r="36" spans="2:12" x14ac:dyDescent="0.2">
      <c r="B36" s="99">
        <v>2035</v>
      </c>
      <c r="C36" s="171">
        <f t="shared" si="16"/>
        <v>1.5980408448808728E-2</v>
      </c>
      <c r="D36" s="171">
        <f t="shared" si="17"/>
        <v>0.19850438987413538</v>
      </c>
      <c r="E36" s="171">
        <f t="shared" si="18"/>
        <v>0.52291106303643042</v>
      </c>
      <c r="F36" s="171">
        <f t="shared" si="19"/>
        <v>0.15325147375451889</v>
      </c>
      <c r="G36" s="171">
        <f t="shared" si="20"/>
        <v>1.7913519401980684E-2</v>
      </c>
      <c r="H36" s="171">
        <f t="shared" si="21"/>
        <v>6.3625017830996722E-2</v>
      </c>
      <c r="I36" s="170">
        <f t="shared" si="22"/>
        <v>2.78141276531291E-2</v>
      </c>
    </row>
    <row r="37" spans="2:12" x14ac:dyDescent="0.2">
      <c r="B37" s="99">
        <v>2040</v>
      </c>
      <c r="C37" s="171">
        <f t="shared" si="16"/>
        <v>4.5771828465705358E-8</v>
      </c>
      <c r="D37" s="171">
        <f t="shared" si="17"/>
        <v>0.24391262642452935</v>
      </c>
      <c r="E37" s="171">
        <f t="shared" si="18"/>
        <v>0.45598090743707959</v>
      </c>
      <c r="F37" s="171">
        <f t="shared" si="19"/>
        <v>0.22567958897909082</v>
      </c>
      <c r="G37" s="171">
        <f t="shared" si="20"/>
        <v>1.5620673207554253E-2</v>
      </c>
      <c r="H37" s="171">
        <f t="shared" si="21"/>
        <v>3.6714651105778158E-2</v>
      </c>
      <c r="I37" s="170">
        <f t="shared" si="22"/>
        <v>2.2091507074139354E-2</v>
      </c>
    </row>
    <row r="38" spans="2:12" x14ac:dyDescent="0.2">
      <c r="B38" s="99">
        <v>2045</v>
      </c>
      <c r="C38" s="171">
        <f t="shared" si="16"/>
        <v>4.5771828465705358E-8</v>
      </c>
      <c r="D38" s="171">
        <f t="shared" si="17"/>
        <v>0.24391262642452935</v>
      </c>
      <c r="E38" s="171">
        <f t="shared" si="18"/>
        <v>0.45598090743707959</v>
      </c>
      <c r="F38" s="171">
        <f t="shared" si="19"/>
        <v>0.22567958897909082</v>
      </c>
      <c r="G38" s="171">
        <f t="shared" si="20"/>
        <v>1.5620673207554253E-2</v>
      </c>
      <c r="H38" s="171">
        <f t="shared" si="21"/>
        <v>3.6714651105778158E-2</v>
      </c>
      <c r="I38" s="170">
        <f t="shared" si="22"/>
        <v>2.2091507074139354E-2</v>
      </c>
    </row>
    <row r="39" spans="2:12" x14ac:dyDescent="0.2">
      <c r="B39" s="98">
        <v>2050</v>
      </c>
      <c r="C39" s="171">
        <f t="shared" si="16"/>
        <v>3.9835278068298498E-8</v>
      </c>
      <c r="D39" s="171">
        <f t="shared" si="17"/>
        <v>0.27637600472028179</v>
      </c>
      <c r="E39" s="171">
        <f t="shared" si="18"/>
        <v>0.39684073916980245</v>
      </c>
      <c r="F39" s="171">
        <f t="shared" si="19"/>
        <v>0.2765148633865272</v>
      </c>
      <c r="G39" s="171">
        <f t="shared" si="20"/>
        <v>1.3594690919972658E-2</v>
      </c>
      <c r="H39" s="171">
        <f t="shared" si="21"/>
        <v>1.7444783714261794E-2</v>
      </c>
      <c r="I39" s="170">
        <f t="shared" si="22"/>
        <v>1.9228878253875977E-2</v>
      </c>
    </row>
    <row r="40" spans="2:12" x14ac:dyDescent="0.2">
      <c r="B40" s="154"/>
      <c r="C40" s="153"/>
      <c r="D40" s="153"/>
      <c r="E40" s="153"/>
      <c r="F40" s="153"/>
      <c r="G40" s="153"/>
      <c r="H40" s="153"/>
      <c r="I40" s="152"/>
    </row>
    <row r="43" spans="2:12" ht="19" x14ac:dyDescent="0.2">
      <c r="B43" s="331" t="s">
        <v>615</v>
      </c>
      <c r="C43" s="332"/>
      <c r="D43" s="332"/>
      <c r="E43" s="332"/>
      <c r="F43" s="332"/>
      <c r="G43" s="332"/>
      <c r="H43" s="332"/>
      <c r="I43" s="333"/>
      <c r="J43" s="334" t="s">
        <v>548</v>
      </c>
      <c r="K43" s="335" t="s">
        <v>547</v>
      </c>
      <c r="L43" s="336" t="s">
        <v>546</v>
      </c>
    </row>
    <row r="44" spans="2:12" x14ac:dyDescent="0.2">
      <c r="B44" s="96" t="s">
        <v>270</v>
      </c>
      <c r="C44" s="168" t="s">
        <v>446</v>
      </c>
      <c r="D44" s="168" t="s">
        <v>444</v>
      </c>
      <c r="E44" s="168" t="s">
        <v>454</v>
      </c>
      <c r="F44" s="168" t="s">
        <v>521</v>
      </c>
      <c r="G44" s="168" t="s">
        <v>452</v>
      </c>
      <c r="H44" s="168" t="s">
        <v>450</v>
      </c>
      <c r="I44" s="167" t="s">
        <v>520</v>
      </c>
      <c r="J44" s="334"/>
      <c r="K44" s="335"/>
      <c r="L44" s="336"/>
    </row>
    <row r="45" spans="2:12" x14ac:dyDescent="0.2">
      <c r="B45" s="101"/>
      <c r="C45" s="158"/>
      <c r="D45" s="158"/>
      <c r="E45" s="158"/>
      <c r="F45" s="158"/>
      <c r="G45" s="158"/>
      <c r="H45" s="158"/>
      <c r="I45" s="164"/>
      <c r="J45" s="155"/>
      <c r="K45" s="151"/>
      <c r="L45" s="151"/>
    </row>
    <row r="46" spans="2:12" x14ac:dyDescent="0.2">
      <c r="B46" s="99">
        <v>2020</v>
      </c>
      <c r="C46" s="158">
        <f t="shared" ref="C46:C52" si="23">C33*$J$8</f>
        <v>56.589459337433198</v>
      </c>
      <c r="D46" s="157">
        <f t="shared" ref="D46:D52" si="24">D33*$J$9</f>
        <v>76.077266022110237</v>
      </c>
      <c r="E46" s="157">
        <f t="shared" ref="E46:E52" si="25">E33*$J$4</f>
        <v>8.6373872806233454</v>
      </c>
      <c r="F46" s="157">
        <f t="shared" ref="F46:F52" si="26">F33*$J$7</f>
        <v>0.34279777710891468</v>
      </c>
      <c r="G46" s="157">
        <f t="shared" ref="G46:G52" si="27">G33*$J$5</f>
        <v>0.71494443192734891</v>
      </c>
      <c r="H46" s="157">
        <f t="shared" ref="H46:H52" si="28">H33*109</f>
        <v>9.8791478763231702</v>
      </c>
      <c r="I46" s="156">
        <f t="shared" ref="I46:I52" si="29">I33*$J$10</f>
        <v>0.8038422303411783</v>
      </c>
      <c r="J46" s="155">
        <f t="shared" ref="J46:J52" si="30">SUM(C46:I46)</f>
        <v>153.0448449558674</v>
      </c>
      <c r="K46" s="155">
        <f>$J$8-J46</f>
        <v>847.95515504413265</v>
      </c>
      <c r="L46" s="155">
        <f t="shared" ref="L46:L52" si="31">K46/1011</f>
        <v>0.83872913456392939</v>
      </c>
    </row>
    <row r="47" spans="2:12" x14ac:dyDescent="0.2">
      <c r="B47" s="99">
        <v>2025</v>
      </c>
      <c r="C47" s="158">
        <f t="shared" si="23"/>
        <v>56.589459337433198</v>
      </c>
      <c r="D47" s="157">
        <f t="shared" si="24"/>
        <v>76.077266022110237</v>
      </c>
      <c r="E47" s="157">
        <f t="shared" si="25"/>
        <v>8.6373872806233454</v>
      </c>
      <c r="F47" s="157">
        <f t="shared" si="26"/>
        <v>0.34279777710891468</v>
      </c>
      <c r="G47" s="157">
        <f t="shared" si="27"/>
        <v>0.71494443192734891</v>
      </c>
      <c r="H47" s="157">
        <f t="shared" si="28"/>
        <v>9.8791478763231702</v>
      </c>
      <c r="I47" s="156">
        <f t="shared" si="29"/>
        <v>0.8038422303411783</v>
      </c>
      <c r="J47" s="155">
        <f t="shared" si="30"/>
        <v>153.0448449558674</v>
      </c>
      <c r="K47" s="155">
        <f t="shared" ref="K47:K52" si="32">$J$8-J47</f>
        <v>847.95515504413265</v>
      </c>
      <c r="L47" s="155">
        <f t="shared" si="31"/>
        <v>0.83872913456392939</v>
      </c>
    </row>
    <row r="48" spans="2:12" x14ac:dyDescent="0.2">
      <c r="B48" s="99">
        <v>2030</v>
      </c>
      <c r="C48" s="158">
        <f t="shared" si="23"/>
        <v>15.996388857257536</v>
      </c>
      <c r="D48" s="157">
        <f t="shared" si="24"/>
        <v>93.098558850969496</v>
      </c>
      <c r="E48" s="157">
        <f t="shared" si="25"/>
        <v>8.3665770085828868</v>
      </c>
      <c r="F48" s="157">
        <f t="shared" si="26"/>
        <v>0.61300589501807556</v>
      </c>
      <c r="G48" s="157">
        <f t="shared" si="27"/>
        <v>0.62697317906932393</v>
      </c>
      <c r="H48" s="157">
        <f t="shared" si="28"/>
        <v>6.9351269435786431</v>
      </c>
      <c r="I48" s="156">
        <f t="shared" si="29"/>
        <v>0.50065429775632375</v>
      </c>
      <c r="J48" s="155">
        <f t="shared" si="30"/>
        <v>126.13728503223228</v>
      </c>
      <c r="K48" s="155">
        <f t="shared" si="32"/>
        <v>874.86271496776772</v>
      </c>
      <c r="L48" s="155">
        <f t="shared" si="31"/>
        <v>0.86534393171886026</v>
      </c>
    </row>
    <row r="49" spans="2:12" x14ac:dyDescent="0.2">
      <c r="B49" s="99">
        <v>2035</v>
      </c>
      <c r="C49" s="158">
        <f t="shared" si="23"/>
        <v>15.996388857257536</v>
      </c>
      <c r="D49" s="157">
        <f t="shared" si="24"/>
        <v>93.098558850969496</v>
      </c>
      <c r="E49" s="157">
        <f t="shared" si="25"/>
        <v>8.3665770085828868</v>
      </c>
      <c r="F49" s="157">
        <f t="shared" si="26"/>
        <v>0.61300589501807556</v>
      </c>
      <c r="G49" s="157">
        <f t="shared" si="27"/>
        <v>0.62697317906932393</v>
      </c>
      <c r="H49" s="157">
        <f t="shared" si="28"/>
        <v>6.9351269435786431</v>
      </c>
      <c r="I49" s="156">
        <f t="shared" si="29"/>
        <v>0.50065429775632375</v>
      </c>
      <c r="J49" s="155">
        <f t="shared" si="30"/>
        <v>126.13728503223228</v>
      </c>
      <c r="K49" s="155">
        <f t="shared" si="32"/>
        <v>874.86271496776772</v>
      </c>
      <c r="L49" s="155">
        <f t="shared" si="31"/>
        <v>0.86534393171886026</v>
      </c>
    </row>
    <row r="50" spans="2:12" x14ac:dyDescent="0.2">
      <c r="B50" s="99">
        <v>2040</v>
      </c>
      <c r="C50" s="158">
        <f t="shared" si="23"/>
        <v>4.5817600294171066E-5</v>
      </c>
      <c r="D50" s="157">
        <f t="shared" si="24"/>
        <v>114.39502179310426</v>
      </c>
      <c r="E50" s="157">
        <f t="shared" si="25"/>
        <v>7.2956945189932734</v>
      </c>
      <c r="F50" s="157">
        <f t="shared" si="26"/>
        <v>0.90271835591636329</v>
      </c>
      <c r="G50" s="157">
        <f t="shared" si="27"/>
        <v>0.54672356226439889</v>
      </c>
      <c r="H50" s="157">
        <f t="shared" si="28"/>
        <v>4.0018969705298195</v>
      </c>
      <c r="I50" s="156">
        <f t="shared" si="29"/>
        <v>0.39764712733450835</v>
      </c>
      <c r="J50" s="155">
        <f t="shared" si="30"/>
        <v>127.53974814574292</v>
      </c>
      <c r="K50" s="155">
        <f t="shared" si="32"/>
        <v>873.46025185425708</v>
      </c>
      <c r="L50" s="155">
        <f t="shared" si="31"/>
        <v>0.86395672784792987</v>
      </c>
    </row>
    <row r="51" spans="2:12" x14ac:dyDescent="0.2">
      <c r="B51" s="99">
        <v>2045</v>
      </c>
      <c r="C51" s="158">
        <f t="shared" si="23"/>
        <v>4.5817600294171066E-5</v>
      </c>
      <c r="D51" s="157">
        <f t="shared" si="24"/>
        <v>114.39502179310426</v>
      </c>
      <c r="E51" s="157">
        <f t="shared" si="25"/>
        <v>7.2956945189932734</v>
      </c>
      <c r="F51" s="157">
        <f t="shared" si="26"/>
        <v>0.90271835591636329</v>
      </c>
      <c r="G51" s="157">
        <f t="shared" si="27"/>
        <v>0.54672356226439889</v>
      </c>
      <c r="H51" s="157">
        <f t="shared" si="28"/>
        <v>4.0018969705298195</v>
      </c>
      <c r="I51" s="156">
        <f t="shared" si="29"/>
        <v>0.39764712733450835</v>
      </c>
      <c r="J51" s="155">
        <f t="shared" si="30"/>
        <v>127.53974814574292</v>
      </c>
      <c r="K51" s="155">
        <f t="shared" si="32"/>
        <v>873.46025185425708</v>
      </c>
      <c r="L51" s="155">
        <f t="shared" si="31"/>
        <v>0.86395672784792987</v>
      </c>
    </row>
    <row r="52" spans="2:12" x14ac:dyDescent="0.2">
      <c r="B52" s="98">
        <v>2050</v>
      </c>
      <c r="C52" s="158">
        <f t="shared" si="23"/>
        <v>3.9875113346366798E-5</v>
      </c>
      <c r="D52" s="157">
        <f t="shared" si="24"/>
        <v>129.62034621381216</v>
      </c>
      <c r="E52" s="157">
        <f t="shared" si="25"/>
        <v>6.3494518267168392</v>
      </c>
      <c r="F52" s="157">
        <f t="shared" si="26"/>
        <v>1.1060594535461088</v>
      </c>
      <c r="G52" s="157">
        <f t="shared" si="27"/>
        <v>0.47581418219904303</v>
      </c>
      <c r="H52" s="157">
        <f t="shared" si="28"/>
        <v>1.9014814248545355</v>
      </c>
      <c r="I52" s="156">
        <f t="shared" si="29"/>
        <v>0.3461198085697676</v>
      </c>
      <c r="J52" s="155">
        <f t="shared" si="30"/>
        <v>139.79931278481175</v>
      </c>
      <c r="K52" s="155">
        <f t="shared" si="32"/>
        <v>861.20068721518828</v>
      </c>
      <c r="L52" s="155">
        <f t="shared" si="31"/>
        <v>0.85183055115251072</v>
      </c>
    </row>
    <row r="53" spans="2:12" x14ac:dyDescent="0.2">
      <c r="B53" s="154"/>
      <c r="C53" s="153"/>
      <c r="D53" s="153"/>
      <c r="E53" s="153"/>
      <c r="F53" s="153"/>
      <c r="G53" s="153"/>
      <c r="H53" s="153"/>
      <c r="I53" s="152"/>
      <c r="J53" s="151"/>
      <c r="K53" s="151"/>
      <c r="L53" s="151"/>
    </row>
    <row r="55" spans="2:12" x14ac:dyDescent="0.2">
      <c r="B55" s="276" t="s">
        <v>643</v>
      </c>
      <c r="C55" s="276"/>
      <c r="D55" s="276"/>
      <c r="E55" s="276"/>
      <c r="F55" s="276"/>
      <c r="G55" s="276"/>
      <c r="H55" s="276"/>
      <c r="I55" s="276"/>
    </row>
    <row r="56" spans="2:12" ht="19" x14ac:dyDescent="0.2">
      <c r="B56" s="330"/>
      <c r="C56" s="330"/>
      <c r="D56" s="330"/>
      <c r="E56" s="330"/>
      <c r="F56" s="330"/>
      <c r="G56" s="330"/>
      <c r="H56" s="330"/>
      <c r="I56" s="330"/>
    </row>
    <row r="57" spans="2:12" x14ac:dyDescent="0.2">
      <c r="B57" s="147"/>
      <c r="C57" s="147"/>
      <c r="D57" s="147"/>
      <c r="E57" s="147"/>
      <c r="F57" s="147"/>
      <c r="G57" s="147"/>
      <c r="H57" s="147"/>
      <c r="I57" s="147"/>
    </row>
    <row r="58" spans="2:12" x14ac:dyDescent="0.2">
      <c r="B58" s="143"/>
      <c r="C58" s="145"/>
      <c r="D58" s="145"/>
      <c r="E58" s="145"/>
      <c r="F58" s="145"/>
      <c r="G58" s="145"/>
      <c r="H58" s="145"/>
      <c r="I58" s="145"/>
      <c r="J58" s="3"/>
    </row>
    <row r="59" spans="2:12" x14ac:dyDescent="0.2">
      <c r="B59" s="143"/>
      <c r="C59" s="145"/>
      <c r="D59" s="145"/>
      <c r="E59" s="145"/>
      <c r="F59" s="145"/>
      <c r="G59" s="145"/>
      <c r="H59" s="145"/>
      <c r="I59" s="145"/>
      <c r="J59" s="3"/>
    </row>
    <row r="60" spans="2:12" x14ac:dyDescent="0.2">
      <c r="B60" s="143"/>
      <c r="C60" s="145"/>
      <c r="D60" s="145"/>
      <c r="E60" s="145"/>
      <c r="F60" s="145"/>
      <c r="G60" s="145"/>
      <c r="H60" s="145"/>
      <c r="I60" s="145"/>
      <c r="J60" s="3"/>
    </row>
    <row r="61" spans="2:12" x14ac:dyDescent="0.2">
      <c r="B61" s="143"/>
      <c r="C61" s="145"/>
      <c r="D61" s="145"/>
      <c r="E61" s="145"/>
      <c r="F61" s="145"/>
      <c r="G61" s="145"/>
      <c r="H61" s="145"/>
      <c r="I61" s="145"/>
      <c r="J61" s="3"/>
    </row>
    <row r="62" spans="2:12" x14ac:dyDescent="0.2">
      <c r="B62" s="143"/>
      <c r="C62" s="145"/>
      <c r="D62" s="145"/>
      <c r="E62" s="145"/>
      <c r="F62" s="145"/>
      <c r="G62" s="145"/>
      <c r="H62" s="145"/>
      <c r="I62" s="145"/>
      <c r="J62" s="3"/>
    </row>
    <row r="63" spans="2:12" x14ac:dyDescent="0.2">
      <c r="B63" s="143"/>
      <c r="C63" s="143"/>
      <c r="D63" s="143"/>
      <c r="E63" s="143"/>
      <c r="F63" s="143"/>
      <c r="G63" s="143"/>
      <c r="H63" s="143"/>
      <c r="I63" s="143"/>
    </row>
    <row r="66" spans="2:10" ht="19" x14ac:dyDescent="0.2">
      <c r="B66" s="330"/>
      <c r="C66" s="330"/>
      <c r="D66" s="330"/>
      <c r="E66" s="330"/>
      <c r="F66" s="330"/>
      <c r="G66" s="330"/>
      <c r="H66" s="330"/>
      <c r="I66" s="330"/>
      <c r="J66" s="218"/>
    </row>
    <row r="67" spans="2:10" x14ac:dyDescent="0.2">
      <c r="B67" s="147"/>
      <c r="C67" s="147"/>
      <c r="D67" s="147"/>
      <c r="E67" s="147"/>
      <c r="F67" s="147"/>
      <c r="G67" s="147"/>
      <c r="H67" s="147"/>
      <c r="I67" s="147"/>
      <c r="J67" s="218"/>
    </row>
    <row r="68" spans="2:10" x14ac:dyDescent="0.2">
      <c r="B68" s="143"/>
      <c r="C68" s="145"/>
      <c r="D68" s="145"/>
      <c r="E68" s="145"/>
      <c r="F68" s="145"/>
      <c r="G68" s="145"/>
      <c r="H68" s="145"/>
      <c r="I68" s="145"/>
      <c r="J68" s="144"/>
    </row>
    <row r="69" spans="2:10" x14ac:dyDescent="0.2">
      <c r="B69" s="143"/>
      <c r="C69" s="145"/>
      <c r="D69" s="145"/>
      <c r="E69" s="145"/>
      <c r="F69" s="145"/>
      <c r="G69" s="145"/>
      <c r="H69" s="145"/>
      <c r="I69" s="145"/>
      <c r="J69" s="144"/>
    </row>
    <row r="70" spans="2:10" x14ac:dyDescent="0.2">
      <c r="B70" s="143"/>
      <c r="C70" s="145"/>
      <c r="D70" s="145"/>
      <c r="E70" s="145"/>
      <c r="F70" s="145"/>
      <c r="G70" s="145"/>
      <c r="H70" s="145"/>
      <c r="I70" s="145"/>
      <c r="J70" s="144"/>
    </row>
    <row r="71" spans="2:10" x14ac:dyDescent="0.2">
      <c r="B71" s="143"/>
      <c r="C71" s="145"/>
      <c r="D71" s="145"/>
      <c r="E71" s="145"/>
      <c r="F71" s="145"/>
      <c r="G71" s="145"/>
      <c r="H71" s="145"/>
      <c r="I71" s="145"/>
      <c r="J71" s="144"/>
    </row>
    <row r="72" spans="2:10" x14ac:dyDescent="0.2">
      <c r="B72" s="143"/>
      <c r="C72" s="145"/>
      <c r="D72" s="145"/>
      <c r="E72" s="145"/>
      <c r="F72" s="145"/>
      <c r="G72" s="145"/>
      <c r="H72" s="145"/>
      <c r="I72" s="145"/>
      <c r="J72" s="144"/>
    </row>
    <row r="73" spans="2:10" x14ac:dyDescent="0.2">
      <c r="B73" s="143"/>
      <c r="C73" s="143"/>
      <c r="D73" s="143"/>
      <c r="E73" s="143"/>
      <c r="F73" s="143"/>
      <c r="G73" s="143"/>
      <c r="H73" s="143"/>
      <c r="I73" s="143"/>
      <c r="J73" s="142"/>
    </row>
  </sheetData>
  <mergeCells count="9">
    <mergeCell ref="L43:L44"/>
    <mergeCell ref="B2:I2"/>
    <mergeCell ref="B30:I30"/>
    <mergeCell ref="B43:I43"/>
    <mergeCell ref="B56:I56"/>
    <mergeCell ref="B66:I66"/>
    <mergeCell ref="B18:I18"/>
    <mergeCell ref="J43:J44"/>
    <mergeCell ref="K43:K4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166E1-A81A-4676-BB33-9CEB1299B3DB}">
  <sheetPr>
    <tabColor theme="6"/>
  </sheetPr>
  <dimension ref="A1:U53"/>
  <sheetViews>
    <sheetView workbookViewId="0">
      <selection activeCell="J4" sqref="J4:J10"/>
    </sheetView>
  </sheetViews>
  <sheetFormatPr baseColWidth="10" defaultColWidth="11" defaultRowHeight="16" x14ac:dyDescent="0.2"/>
  <sheetData>
    <row r="1" spans="1:11" x14ac:dyDescent="0.2">
      <c r="A1" t="s">
        <v>623</v>
      </c>
    </row>
    <row r="2" spans="1:11" x14ac:dyDescent="0.2"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85" x14ac:dyDescent="0.2"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54" t="s">
        <v>556</v>
      </c>
      <c r="I3" s="235" t="s">
        <v>527</v>
      </c>
      <c r="J3" s="39" t="s">
        <v>460</v>
      </c>
      <c r="K3" s="213"/>
    </row>
    <row r="4" spans="1:11" x14ac:dyDescent="0.2">
      <c r="B4" s="209" t="s">
        <v>454</v>
      </c>
      <c r="C4" s="253" t="s">
        <v>607</v>
      </c>
      <c r="D4" s="206">
        <v>4000000000000</v>
      </c>
      <c r="E4" s="207">
        <v>4000000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B5" s="209" t="s">
        <v>452</v>
      </c>
      <c r="C5" s="253" t="s">
        <v>608</v>
      </c>
      <c r="D5" s="206">
        <v>6000000000000</v>
      </c>
      <c r="E5" s="207">
        <v>6000000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B6" s="209" t="s">
        <v>450</v>
      </c>
      <c r="C6" s="253" t="s">
        <v>607</v>
      </c>
      <c r="D6" s="206">
        <v>4000000000000</v>
      </c>
      <c r="E6" s="207">
        <v>4000000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B7" s="209" t="s">
        <v>448</v>
      </c>
      <c r="C7" s="253" t="s">
        <v>606</v>
      </c>
      <c r="D7" s="206">
        <v>97000000000000</v>
      </c>
      <c r="E7" s="207">
        <v>97000000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B8" s="209" t="s">
        <v>446</v>
      </c>
      <c r="C8" s="253" t="s">
        <v>445</v>
      </c>
      <c r="D8" s="206">
        <v>109000000000000</v>
      </c>
      <c r="E8" s="207" t="s">
        <v>567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B9" s="209" t="s">
        <v>444</v>
      </c>
      <c r="C9" s="253" t="s">
        <v>443</v>
      </c>
      <c r="D9" s="206">
        <v>78000000000000</v>
      </c>
      <c r="E9" s="207">
        <v>78000000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B10" s="209" t="s">
        <v>555</v>
      </c>
      <c r="C10" s="253" t="s">
        <v>605</v>
      </c>
      <c r="D10" s="206">
        <v>98000000000000</v>
      </c>
      <c r="E10" s="207">
        <v>98000000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2:20" ht="19" x14ac:dyDescent="0.2">
      <c r="B17" s="331" t="s">
        <v>622</v>
      </c>
      <c r="C17" s="332"/>
      <c r="D17" s="332"/>
      <c r="E17" s="332"/>
      <c r="F17" s="332"/>
      <c r="G17" s="332"/>
      <c r="H17" s="332"/>
      <c r="I17" s="338"/>
      <c r="J17" s="184"/>
      <c r="K17" s="4"/>
    </row>
    <row r="18" spans="2:20" x14ac:dyDescent="0.2"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79" t="s">
        <v>520</v>
      </c>
      <c r="J18" s="184"/>
      <c r="K18" s="4"/>
    </row>
    <row r="19" spans="2:20" x14ac:dyDescent="0.2">
      <c r="B19" s="184"/>
      <c r="C19" s="184"/>
      <c r="D19" s="184"/>
      <c r="E19" s="184"/>
      <c r="F19" s="184"/>
      <c r="G19" s="184"/>
      <c r="H19" s="184"/>
      <c r="I19" s="184"/>
      <c r="J19" s="184"/>
      <c r="K19" s="4"/>
    </row>
    <row r="20" spans="2:20" x14ac:dyDescent="0.2">
      <c r="B20" s="99">
        <v>2020</v>
      </c>
      <c r="C20" s="184">
        <f>M31/1000</f>
        <v>0.14858010558612197</v>
      </c>
      <c r="D20" s="184">
        <f>M30/1000</f>
        <v>6.0773921180377499E-2</v>
      </c>
      <c r="E20" s="184">
        <f>M26/1000</f>
        <v>0</v>
      </c>
      <c r="F20" s="184">
        <f>M34/1000</f>
        <v>3.5680144537475894E-2</v>
      </c>
      <c r="G20" s="184">
        <f>M37/1000</f>
        <v>1.8626574329561902E-2</v>
      </c>
      <c r="H20" s="184">
        <f>M35/1000</f>
        <v>2.225208274102311E-2</v>
      </c>
      <c r="I20" s="184">
        <f>(M29+M36+M38)/1000</f>
        <v>1.3776193434841327E-2</v>
      </c>
      <c r="J20" s="184">
        <f t="shared" ref="J20:J26" si="0">SUM(C20:I20)</f>
        <v>0.29968902180940166</v>
      </c>
      <c r="K20" s="4"/>
    </row>
    <row r="21" spans="2:20" x14ac:dyDescent="0.2">
      <c r="B21" s="99">
        <v>2025</v>
      </c>
      <c r="C21" s="184">
        <f>N31/1000</f>
        <v>7.9267780249445891E-2</v>
      </c>
      <c r="D21" s="184">
        <f>N30/1000</f>
        <v>5.61140460057932E-2</v>
      </c>
      <c r="E21" s="184">
        <f>N26/1000</f>
        <v>0</v>
      </c>
      <c r="F21" s="184">
        <f>N34/1000</f>
        <v>3.77814318968493E-2</v>
      </c>
      <c r="G21" s="184">
        <f>N37/1000</f>
        <v>6.4709163646248194E-2</v>
      </c>
      <c r="H21" s="184">
        <f>N35/1000</f>
        <v>6.9531300046151795E-2</v>
      </c>
      <c r="I21" s="184">
        <f>(N29+N36+N38)/1000</f>
        <v>1.3975353611136178E-2</v>
      </c>
      <c r="J21" s="184">
        <f t="shared" si="0"/>
        <v>0.32137907545562455</v>
      </c>
      <c r="K21" s="4"/>
    </row>
    <row r="22" spans="2:20" x14ac:dyDescent="0.2">
      <c r="B22" s="99">
        <v>2030</v>
      </c>
      <c r="C22" s="184">
        <f>O31/1000</f>
        <v>6.7783117644446597E-2</v>
      </c>
      <c r="D22" s="184">
        <f>O30/1000</f>
        <v>5.6114046005793103E-2</v>
      </c>
      <c r="E22" s="184">
        <f>O26/1000</f>
        <v>0</v>
      </c>
      <c r="F22" s="184">
        <f>O34/1000</f>
        <v>3.9184814648585996E-2</v>
      </c>
      <c r="G22" s="184">
        <f>O37/1000</f>
        <v>7.9616312576611087E-2</v>
      </c>
      <c r="H22" s="184">
        <f>O35/1000</f>
        <v>9.9518454682931898E-2</v>
      </c>
      <c r="I22" s="184">
        <f>(O29+O36+O38)/1000</f>
        <v>1.0062034951128099E-2</v>
      </c>
      <c r="J22" s="184">
        <f t="shared" si="0"/>
        <v>0.35227878050949679</v>
      </c>
      <c r="K22" s="4"/>
    </row>
    <row r="23" spans="2:20" x14ac:dyDescent="0.2">
      <c r="B23" s="99">
        <v>2035</v>
      </c>
      <c r="C23" s="184">
        <f>P31/1000</f>
        <v>6.5156195489398092E-2</v>
      </c>
      <c r="D23" s="184">
        <f>P30/1000</f>
        <v>4.6488781963630502E-2</v>
      </c>
      <c r="E23" s="184">
        <f>P26/1000</f>
        <v>0</v>
      </c>
      <c r="F23" s="184">
        <f>P34/1000</f>
        <v>4.1196187535888495E-2</v>
      </c>
      <c r="G23" s="184">
        <f>P37/1000</f>
        <v>8.8612838223779203E-2</v>
      </c>
      <c r="H23" s="184">
        <f>P35/1000</f>
        <v>0.131247212412619</v>
      </c>
      <c r="I23" s="184">
        <f>(P29+P36+P38)/1000</f>
        <v>1.0465177095291569E-2</v>
      </c>
      <c r="J23" s="184">
        <f t="shared" si="0"/>
        <v>0.38316639272060682</v>
      </c>
      <c r="K23" s="4"/>
      <c r="L23" s="166" t="s">
        <v>551</v>
      </c>
      <c r="T23" s="165"/>
    </row>
    <row r="24" spans="2:20" x14ac:dyDescent="0.2">
      <c r="B24" s="99">
        <v>2040</v>
      </c>
      <c r="C24" s="184">
        <f>Q31/1000</f>
        <v>6.0618852330605134E-2</v>
      </c>
      <c r="D24" s="184">
        <f>Q30/1000</f>
        <v>4.0107191163754254E-2</v>
      </c>
      <c r="E24" s="184">
        <f>Q26/1000</f>
        <v>0</v>
      </c>
      <c r="F24" s="184">
        <f>Q34/1000</f>
        <v>4.5276847520179402E-2</v>
      </c>
      <c r="G24" s="184">
        <f>Q37/1000</f>
        <v>0.107701410940996</v>
      </c>
      <c r="H24" s="184">
        <f>Q35/1000</f>
        <v>0.146032367402502</v>
      </c>
      <c r="I24" s="184">
        <f>(Q29+Q36+Q38)/1000</f>
        <v>1.0773179002568009E-2</v>
      </c>
      <c r="J24" s="184">
        <f t="shared" si="0"/>
        <v>0.41050984836060478</v>
      </c>
      <c r="K24" s="4"/>
      <c r="L24" s="166" t="s">
        <v>550</v>
      </c>
      <c r="T24" s="165"/>
    </row>
    <row r="25" spans="2:20" x14ac:dyDescent="0.2">
      <c r="B25" s="99">
        <v>2045</v>
      </c>
      <c r="C25" s="184">
        <f>R31/1000</f>
        <v>5.7007862461003325E-2</v>
      </c>
      <c r="D25" s="184">
        <f>R30/1000</f>
        <v>3.2319700269128823E-2</v>
      </c>
      <c r="E25" s="184">
        <f>R26/1000</f>
        <v>0</v>
      </c>
      <c r="F25" s="184">
        <f>R34/1000</f>
        <v>5.1070706208041397E-2</v>
      </c>
      <c r="G25" s="184">
        <f>R37/1000</f>
        <v>0.12812112662903399</v>
      </c>
      <c r="H25" s="184">
        <f>R35/1000</f>
        <v>0.16099017953834602</v>
      </c>
      <c r="I25" s="184">
        <f>(R29+R36+R38)/1000</f>
        <v>1.1162255338299872E-2</v>
      </c>
      <c r="J25" s="184">
        <f t="shared" si="0"/>
        <v>0.44067183044385344</v>
      </c>
      <c r="K25" s="4"/>
      <c r="T25" s="165"/>
    </row>
    <row r="26" spans="2:20" x14ac:dyDescent="0.2">
      <c r="B26" s="98">
        <v>2050</v>
      </c>
      <c r="C26" s="184">
        <f>S31/1000</f>
        <v>5.4567011489117537E-2</v>
      </c>
      <c r="D26" s="184">
        <f>S30/1000</f>
        <v>3.2319700269128733E-2</v>
      </c>
      <c r="E26" s="184">
        <f>S26/1000</f>
        <v>0</v>
      </c>
      <c r="F26" s="184">
        <f>S34/1000</f>
        <v>5.1111966691621886E-2</v>
      </c>
      <c r="G26" s="184">
        <f>S37/1000</f>
        <v>0.155224633949717</v>
      </c>
      <c r="H26" s="184">
        <f>S35/1000</f>
        <v>0.161905165302235</v>
      </c>
      <c r="I26" s="184">
        <f>(S29+S36+S38)/1000</f>
        <v>1.150015740015624E-2</v>
      </c>
      <c r="J26" s="184">
        <f t="shared" si="0"/>
        <v>0.46662863510197644</v>
      </c>
      <c r="K26" s="4"/>
      <c r="L26" s="169" t="s">
        <v>621</v>
      </c>
      <c r="T26" s="165"/>
    </row>
    <row r="27" spans="2:20" x14ac:dyDescent="0.2">
      <c r="B27" s="4"/>
      <c r="C27" s="4"/>
      <c r="D27" s="4"/>
      <c r="E27" s="4"/>
      <c r="F27" s="4"/>
      <c r="G27" s="4"/>
      <c r="H27" s="4"/>
      <c r="I27" s="4"/>
      <c r="J27" s="4"/>
      <c r="K27" s="4"/>
      <c r="L27" s="166" t="s">
        <v>544</v>
      </c>
      <c r="T27" s="165"/>
    </row>
    <row r="28" spans="2:20" ht="54" thickBot="1" x14ac:dyDescent="0.25">
      <c r="B28" s="4"/>
      <c r="C28" s="4"/>
      <c r="D28" s="4"/>
      <c r="E28" s="4"/>
      <c r="F28" s="4"/>
      <c r="G28" s="4"/>
      <c r="H28" s="4"/>
      <c r="I28" s="4"/>
      <c r="J28" s="4"/>
      <c r="K28" s="4"/>
      <c r="L28" s="160" t="s">
        <v>543</v>
      </c>
      <c r="M28" s="160">
        <v>2020</v>
      </c>
      <c r="N28" s="160">
        <v>2025</v>
      </c>
      <c r="O28" s="160">
        <v>2030</v>
      </c>
      <c r="P28" s="160">
        <v>2035</v>
      </c>
      <c r="Q28" s="160">
        <v>2040</v>
      </c>
      <c r="R28" s="160">
        <v>2045</v>
      </c>
      <c r="S28" s="160">
        <v>2050</v>
      </c>
      <c r="T28" s="159" t="s">
        <v>542</v>
      </c>
    </row>
    <row r="29" spans="2:20" ht="20" thickTop="1" x14ac:dyDescent="0.2">
      <c r="B29" s="331" t="s">
        <v>620</v>
      </c>
      <c r="C29" s="332"/>
      <c r="D29" s="332"/>
      <c r="E29" s="332"/>
      <c r="F29" s="332"/>
      <c r="G29" s="332"/>
      <c r="H29" s="332"/>
      <c r="I29" s="338"/>
      <c r="J29" s="4"/>
      <c r="K29" s="4"/>
      <c r="L29" s="150" t="s">
        <v>541</v>
      </c>
      <c r="M29" s="150">
        <v>4.2968840564241892</v>
      </c>
      <c r="N29" s="150">
        <v>4.3073407659969094</v>
      </c>
      <c r="O29" s="150">
        <v>0.12519467202013679</v>
      </c>
      <c r="P29" s="150">
        <v>0.12519467202013579</v>
      </c>
      <c r="Q29" s="150">
        <v>0.12519467202013579</v>
      </c>
      <c r="R29" s="150">
        <v>0.12519467202013601</v>
      </c>
      <c r="S29" s="150">
        <v>0.12519467202013351</v>
      </c>
      <c r="T29" s="149">
        <v>-11.11787953270141</v>
      </c>
    </row>
    <row r="30" spans="2:20" x14ac:dyDescent="0.2"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K30" s="4"/>
      <c r="L30" s="150" t="s">
        <v>540</v>
      </c>
      <c r="M30" s="150">
        <v>60.773921180377499</v>
      </c>
      <c r="N30" s="150">
        <v>56.114046005793199</v>
      </c>
      <c r="O30" s="150">
        <v>56.114046005793099</v>
      </c>
      <c r="P30" s="150">
        <v>46.488781963630501</v>
      </c>
      <c r="Q30" s="150">
        <v>40.107191163754251</v>
      </c>
      <c r="R30" s="150">
        <v>32.319700269128823</v>
      </c>
      <c r="S30" s="150">
        <v>32.319700269128731</v>
      </c>
      <c r="T30" s="149">
        <v>-2.0829466704509798</v>
      </c>
    </row>
    <row r="31" spans="2:20" x14ac:dyDescent="0.2">
      <c r="B31" s="184"/>
      <c r="C31" s="175"/>
      <c r="D31" s="175"/>
      <c r="E31" s="175"/>
      <c r="F31" s="175"/>
      <c r="G31" s="175"/>
      <c r="H31" s="175"/>
      <c r="I31" s="175"/>
      <c r="J31" s="8"/>
      <c r="K31" s="4"/>
      <c r="L31" s="150" t="s">
        <v>446</v>
      </c>
      <c r="M31" s="150">
        <v>148.58010558612199</v>
      </c>
      <c r="N31" s="150">
        <v>79.267780249445892</v>
      </c>
      <c r="O31" s="150">
        <v>67.783117644446591</v>
      </c>
      <c r="P31" s="150">
        <v>65.156195489398087</v>
      </c>
      <c r="Q31" s="150">
        <v>60.618852330605137</v>
      </c>
      <c r="R31" s="150">
        <v>57.007862461003327</v>
      </c>
      <c r="S31" s="150">
        <v>54.56701148911754</v>
      </c>
      <c r="T31" s="149">
        <v>-3.2838536959518989</v>
      </c>
    </row>
    <row r="32" spans="2:20" x14ac:dyDescent="0.2">
      <c r="B32" s="99">
        <v>2020</v>
      </c>
      <c r="C32" s="175">
        <f t="shared" ref="C32:C38" si="1">C20/J20</f>
        <v>0.49578094215482144</v>
      </c>
      <c r="D32" s="175">
        <f t="shared" ref="D32:D38" si="2">D20/J20</f>
        <v>0.20278994810503578</v>
      </c>
      <c r="E32" s="175">
        <f t="shared" ref="E32:E38" si="3">E20/J20</f>
        <v>0</v>
      </c>
      <c r="F32" s="175">
        <f t="shared" ref="F32:F38" si="4">F20/J20</f>
        <v>0.1190572291305619</v>
      </c>
      <c r="G32" s="175">
        <f t="shared" ref="G32:G38" si="5">G20/J20</f>
        <v>6.2153008532318421E-2</v>
      </c>
      <c r="H32" s="175">
        <f t="shared" ref="H32:H38" si="6">H20/J20</f>
        <v>7.4250576836862398E-2</v>
      </c>
      <c r="I32" s="175">
        <f t="shared" ref="I32:I38" si="7">I20/J20</f>
        <v>4.5968295240400255E-2</v>
      </c>
      <c r="J32" s="4"/>
      <c r="K32" s="4"/>
      <c r="L32" s="150" t="s">
        <v>454</v>
      </c>
      <c r="M32" s="150">
        <v>0</v>
      </c>
      <c r="N32" s="150">
        <v>0</v>
      </c>
      <c r="O32" s="150">
        <v>0</v>
      </c>
      <c r="P32" s="150">
        <v>0</v>
      </c>
      <c r="Q32" s="150">
        <v>0</v>
      </c>
      <c r="R32" s="150">
        <v>0</v>
      </c>
      <c r="S32" s="150">
        <v>0</v>
      </c>
      <c r="T32" s="149">
        <v>0</v>
      </c>
    </row>
    <row r="33" spans="2:21" x14ac:dyDescent="0.2">
      <c r="B33" s="99">
        <v>2025</v>
      </c>
      <c r="C33" s="175">
        <f t="shared" si="1"/>
        <v>0.2466488527203167</v>
      </c>
      <c r="D33" s="175">
        <f t="shared" si="2"/>
        <v>0.17460391883397935</v>
      </c>
      <c r="E33" s="175">
        <f t="shared" si="3"/>
        <v>0</v>
      </c>
      <c r="F33" s="175">
        <f t="shared" si="4"/>
        <v>0.1175603353867576</v>
      </c>
      <c r="G33" s="175">
        <f t="shared" si="5"/>
        <v>0.20134840314201824</v>
      </c>
      <c r="H33" s="175">
        <f t="shared" si="6"/>
        <v>0.21635291578201254</v>
      </c>
      <c r="I33" s="175">
        <f t="shared" si="7"/>
        <v>4.3485574134915543E-2</v>
      </c>
      <c r="J33" s="4"/>
      <c r="K33" s="4"/>
      <c r="L33" s="150" t="s">
        <v>539</v>
      </c>
      <c r="M33" s="150">
        <v>86.038110986478046</v>
      </c>
      <c r="N33" s="150">
        <v>181.6899084343886</v>
      </c>
      <c r="O33" s="150">
        <v>228.25642218723701</v>
      </c>
      <c r="P33" s="150">
        <v>271.39622059555808</v>
      </c>
      <c r="Q33" s="150">
        <v>309.65861019422528</v>
      </c>
      <c r="R33" s="150">
        <v>351.21907304170111</v>
      </c>
      <c r="S33" s="150">
        <v>379.61672867171001</v>
      </c>
      <c r="T33" s="149">
        <v>5.0723589337844377</v>
      </c>
    </row>
    <row r="34" spans="2:21" x14ac:dyDescent="0.2">
      <c r="B34" s="99">
        <v>2030</v>
      </c>
      <c r="C34" s="175">
        <f t="shared" si="1"/>
        <v>0.1924132857119939</v>
      </c>
      <c r="D34" s="175">
        <f t="shared" si="2"/>
        <v>0.15928874831642142</v>
      </c>
      <c r="E34" s="175">
        <f t="shared" si="3"/>
        <v>0</v>
      </c>
      <c r="F34" s="175">
        <f t="shared" si="4"/>
        <v>0.11123240120200667</v>
      </c>
      <c r="G34" s="175">
        <f t="shared" si="5"/>
        <v>0.22600371348357379</v>
      </c>
      <c r="H34" s="175">
        <f t="shared" si="6"/>
        <v>0.28249914609957344</v>
      </c>
      <c r="I34" s="175">
        <f t="shared" si="7"/>
        <v>2.8562705186430736E-2</v>
      </c>
      <c r="J34" s="4"/>
      <c r="K34" s="4"/>
      <c r="L34" s="150" t="s">
        <v>538</v>
      </c>
      <c r="M34" s="150">
        <v>35.680144537475897</v>
      </c>
      <c r="N34" s="150">
        <v>37.781431896849298</v>
      </c>
      <c r="O34" s="150">
        <v>39.184814648585998</v>
      </c>
      <c r="P34" s="150">
        <v>41.196187535888498</v>
      </c>
      <c r="Q34" s="150">
        <v>45.276847520179402</v>
      </c>
      <c r="R34" s="150">
        <v>51.0707062080414</v>
      </c>
      <c r="S34" s="150">
        <v>51.111966691621888</v>
      </c>
      <c r="T34" s="149">
        <v>1.205286714850762</v>
      </c>
    </row>
    <row r="35" spans="2:21" x14ac:dyDescent="0.2">
      <c r="B35" s="99">
        <v>2035</v>
      </c>
      <c r="C35" s="175">
        <f t="shared" si="1"/>
        <v>0.17004673877259374</v>
      </c>
      <c r="D35" s="175">
        <f t="shared" si="2"/>
        <v>0.12132792135955592</v>
      </c>
      <c r="E35" s="175">
        <f t="shared" si="3"/>
        <v>0</v>
      </c>
      <c r="F35" s="175">
        <f t="shared" si="4"/>
        <v>0.1075151378579475</v>
      </c>
      <c r="G35" s="175">
        <f t="shared" si="5"/>
        <v>0.23126464091644114</v>
      </c>
      <c r="H35" s="175">
        <f t="shared" si="6"/>
        <v>0.34253320464960618</v>
      </c>
      <c r="I35" s="175">
        <f t="shared" si="7"/>
        <v>2.7312356443855594E-2</v>
      </c>
      <c r="J35" s="4"/>
      <c r="K35" s="4"/>
      <c r="L35" s="150" t="s">
        <v>537</v>
      </c>
      <c r="M35" s="150">
        <v>22.252082741023109</v>
      </c>
      <c r="N35" s="150">
        <v>69.531300046151799</v>
      </c>
      <c r="O35" s="150">
        <v>99.518454682931903</v>
      </c>
      <c r="P35" s="150">
        <v>131.24721241261901</v>
      </c>
      <c r="Q35" s="150">
        <v>146.03236740250199</v>
      </c>
      <c r="R35" s="150">
        <v>160.99017953834601</v>
      </c>
      <c r="S35" s="150">
        <v>161.90516530223499</v>
      </c>
      <c r="T35" s="149">
        <v>6.8389639642620903</v>
      </c>
    </row>
    <row r="36" spans="2:21" x14ac:dyDescent="0.2">
      <c r="B36" s="99">
        <v>2040</v>
      </c>
      <c r="C36" s="175">
        <f t="shared" si="1"/>
        <v>0.14766723033001544</v>
      </c>
      <c r="D36" s="175">
        <f t="shared" si="2"/>
        <v>9.7700923190819119E-2</v>
      </c>
      <c r="E36" s="175">
        <f t="shared" si="3"/>
        <v>0</v>
      </c>
      <c r="F36" s="175">
        <f t="shared" si="4"/>
        <v>0.11029418100685076</v>
      </c>
      <c r="G36" s="175">
        <f t="shared" si="5"/>
        <v>0.26236011479653393</v>
      </c>
      <c r="H36" s="175">
        <f t="shared" si="6"/>
        <v>0.3557341388658295</v>
      </c>
      <c r="I36" s="175">
        <f t="shared" si="7"/>
        <v>2.6243411809951291E-2</v>
      </c>
      <c r="J36" s="4"/>
      <c r="K36" s="4"/>
      <c r="L36" s="150" t="s">
        <v>536</v>
      </c>
      <c r="M36" s="150">
        <v>6.8719891449983219</v>
      </c>
      <c r="N36" s="150">
        <v>6.8719891449983219</v>
      </c>
      <c r="O36" s="150">
        <v>6.8719891449983219</v>
      </c>
      <c r="P36" s="150">
        <v>6.8719891449983219</v>
      </c>
      <c r="Q36" s="150">
        <v>6.8719891449983219</v>
      </c>
      <c r="R36" s="150">
        <v>6.8719891449983219</v>
      </c>
      <c r="S36" s="150">
        <v>6.8719891449983219</v>
      </c>
      <c r="T36" s="149">
        <v>0</v>
      </c>
    </row>
    <row r="37" spans="2:21" x14ac:dyDescent="0.2">
      <c r="B37" s="99">
        <v>2045</v>
      </c>
      <c r="C37" s="175">
        <f t="shared" si="1"/>
        <v>0.12936579677349438</v>
      </c>
      <c r="D37" s="175">
        <f t="shared" si="2"/>
        <v>7.3341879458407352E-2</v>
      </c>
      <c r="E37" s="175">
        <f t="shared" si="3"/>
        <v>0</v>
      </c>
      <c r="F37" s="175">
        <f t="shared" si="4"/>
        <v>0.11589283153543525</v>
      </c>
      <c r="G37" s="175">
        <f t="shared" si="5"/>
        <v>0.29074045077941069</v>
      </c>
      <c r="H37" s="175">
        <f t="shared" si="6"/>
        <v>0.36532895550912231</v>
      </c>
      <c r="I37" s="175">
        <f t="shared" si="7"/>
        <v>2.5330085944129957E-2</v>
      </c>
      <c r="J37" s="4"/>
      <c r="K37" s="4"/>
      <c r="L37" s="150" t="s">
        <v>535</v>
      </c>
      <c r="M37" s="150">
        <v>18.626574329561901</v>
      </c>
      <c r="N37" s="150">
        <v>64.7091636462482</v>
      </c>
      <c r="O37" s="150">
        <v>79.616312576611094</v>
      </c>
      <c r="P37" s="150">
        <v>88.612838223779207</v>
      </c>
      <c r="Q37" s="150">
        <v>107.701410940996</v>
      </c>
      <c r="R37" s="150">
        <v>128.12112662903399</v>
      </c>
      <c r="S37" s="150">
        <v>155.224633949717</v>
      </c>
      <c r="T37" s="149">
        <v>7.3233586087777969</v>
      </c>
    </row>
    <row r="38" spans="2:21" x14ac:dyDescent="0.2">
      <c r="B38" s="98">
        <v>2050</v>
      </c>
      <c r="C38" s="175">
        <f t="shared" si="1"/>
        <v>0.11693884040612409</v>
      </c>
      <c r="D38" s="175">
        <f t="shared" si="2"/>
        <v>6.9262145179036491E-2</v>
      </c>
      <c r="E38" s="175">
        <f t="shared" si="3"/>
        <v>0</v>
      </c>
      <c r="F38" s="175">
        <f t="shared" si="4"/>
        <v>0.10953456956290722</v>
      </c>
      <c r="G38" s="175">
        <f t="shared" si="5"/>
        <v>0.33265132542882714</v>
      </c>
      <c r="H38" s="175">
        <f t="shared" si="6"/>
        <v>0.3469679165035649</v>
      </c>
      <c r="I38" s="175">
        <f t="shared" si="7"/>
        <v>2.4645202919540095E-2</v>
      </c>
      <c r="J38" s="4"/>
      <c r="K38" s="4"/>
      <c r="L38" s="150" t="s">
        <v>534</v>
      </c>
      <c r="M38" s="150">
        <v>2.6073202334188168</v>
      </c>
      <c r="N38" s="150">
        <v>2.7960237001409469</v>
      </c>
      <c r="O38" s="150">
        <v>3.0648511341096412</v>
      </c>
      <c r="P38" s="150">
        <v>3.4679932782731111</v>
      </c>
      <c r="Q38" s="150">
        <v>3.7759951855495508</v>
      </c>
      <c r="R38" s="150">
        <v>4.1650715212814147</v>
      </c>
      <c r="S38" s="150">
        <v>4.5029735831377851</v>
      </c>
      <c r="T38" s="149">
        <v>1.838071723930357</v>
      </c>
    </row>
    <row r="39" spans="2:21" ht="17" thickBot="1" x14ac:dyDescent="0.25">
      <c r="B39" s="226"/>
      <c r="C39" s="225"/>
      <c r="D39" s="225"/>
      <c r="E39" s="225"/>
      <c r="F39" s="225"/>
      <c r="G39" s="225"/>
      <c r="H39" s="225"/>
      <c r="I39" s="224"/>
      <c r="J39" s="4"/>
      <c r="K39" s="4"/>
      <c r="L39" s="150" t="s">
        <v>533</v>
      </c>
      <c r="M39" s="150">
        <v>299.68902180940171</v>
      </c>
      <c r="N39" s="150">
        <v>321.37907545562462</v>
      </c>
      <c r="O39" s="150">
        <v>352.27878050949681</v>
      </c>
      <c r="P39" s="150">
        <v>383.16639272060689</v>
      </c>
      <c r="Q39" s="150">
        <v>410.50984836060479</v>
      </c>
      <c r="R39" s="150">
        <v>440.67183044385342</v>
      </c>
      <c r="S39" s="150">
        <v>466.62863510197639</v>
      </c>
      <c r="T39" s="149">
        <v>1.4869073767646681</v>
      </c>
    </row>
    <row r="40" spans="2:21" ht="17" customHeight="1" thickBot="1" x14ac:dyDescent="0.25">
      <c r="B40" s="4" t="s">
        <v>86</v>
      </c>
      <c r="C40" s="4"/>
      <c r="D40" s="4"/>
      <c r="E40" s="4"/>
      <c r="F40" s="4"/>
      <c r="G40" s="4"/>
      <c r="H40" s="4"/>
      <c r="I40" s="4"/>
      <c r="J40" s="4"/>
      <c r="K40" s="4"/>
      <c r="L40" s="146" t="s">
        <v>532</v>
      </c>
      <c r="M40" s="146"/>
      <c r="N40" s="146"/>
      <c r="O40" s="146"/>
      <c r="P40" s="146"/>
      <c r="Q40" s="146"/>
      <c r="R40" s="146"/>
      <c r="S40" s="146"/>
      <c r="T40" s="146"/>
    </row>
    <row r="41" spans="2:21" ht="17" thickBot="1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2:21" ht="20" thickBot="1" x14ac:dyDescent="0.25">
      <c r="B42" s="331" t="s">
        <v>619</v>
      </c>
      <c r="C42" s="332"/>
      <c r="D42" s="332"/>
      <c r="E42" s="332"/>
      <c r="F42" s="332"/>
      <c r="G42" s="332"/>
      <c r="H42" s="332"/>
      <c r="I42" s="332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2:21" ht="17" thickBot="1" x14ac:dyDescent="0.25"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80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2:21" ht="17" thickBot="1" x14ac:dyDescent="0.25">
      <c r="B44" s="184"/>
      <c r="C44" s="252"/>
      <c r="D44" s="252"/>
      <c r="E44" s="252"/>
      <c r="F44" s="252"/>
      <c r="G44" s="252"/>
      <c r="H44" s="252"/>
      <c r="I44" s="252"/>
      <c r="J44" s="155"/>
      <c r="K44" s="155"/>
      <c r="L44" s="151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2:21" ht="17" thickBot="1" x14ac:dyDescent="0.25">
      <c r="B45" s="99">
        <v>2020</v>
      </c>
      <c r="C45" s="158">
        <f t="shared" ref="C45:C51" si="8">C32*$J$8</f>
        <v>496.27672309697624</v>
      </c>
      <c r="D45" s="158">
        <f t="shared" ref="D45:D51" si="9">D32*$J$9</f>
        <v>95.108485661261781</v>
      </c>
      <c r="E45" s="158">
        <f t="shared" ref="E45:E51" si="10">E32*$J$4</f>
        <v>0</v>
      </c>
      <c r="F45" s="158">
        <f t="shared" ref="F45:F51" si="11">F32*$J$7</f>
        <v>0.47622891652224758</v>
      </c>
      <c r="G45" s="158">
        <f t="shared" ref="G45:G51" si="12">G32*$J$5</f>
        <v>2.1753552986311449</v>
      </c>
      <c r="H45" s="158">
        <f t="shared" ref="H45:H51" si="13">H32*$J$6</f>
        <v>0.89100692204234877</v>
      </c>
      <c r="I45" s="157">
        <f t="shared" ref="I45:I51" si="14">I32*$J$10</f>
        <v>0.82742931432720457</v>
      </c>
      <c r="J45" s="155">
        <f t="shared" ref="J45:J51" si="15">SUM(C45:I45)</f>
        <v>595.75522920976107</v>
      </c>
      <c r="K45" s="155">
        <f>$J$8-J45</f>
        <v>405.24477079023893</v>
      </c>
      <c r="L45" s="155">
        <f t="shared" ref="L45:L51" si="16">K45/1011</f>
        <v>0.40083557941665571</v>
      </c>
      <c r="M45" s="146"/>
      <c r="N45" s="146"/>
      <c r="O45" s="146"/>
      <c r="P45" s="146"/>
      <c r="Q45" s="146"/>
      <c r="R45" s="146"/>
      <c r="S45" s="146"/>
      <c r="T45" s="146"/>
    </row>
    <row r="46" spans="2:21" ht="17" thickBot="1" x14ac:dyDescent="0.25">
      <c r="B46" s="99">
        <v>2025</v>
      </c>
      <c r="C46" s="158">
        <f t="shared" si="8"/>
        <v>246.89550157303702</v>
      </c>
      <c r="D46" s="158">
        <f t="shared" si="9"/>
        <v>81.889237933136314</v>
      </c>
      <c r="E46" s="158">
        <f t="shared" si="10"/>
        <v>0</v>
      </c>
      <c r="F46" s="158">
        <f t="shared" si="11"/>
        <v>0.4702413415470304</v>
      </c>
      <c r="G46" s="158">
        <f t="shared" si="12"/>
        <v>7.0471941099706381</v>
      </c>
      <c r="H46" s="158">
        <f t="shared" si="13"/>
        <v>2.5962349893841505</v>
      </c>
      <c r="I46" s="157">
        <f t="shared" si="14"/>
        <v>0.78274033442847979</v>
      </c>
      <c r="J46" s="155">
        <f t="shared" si="15"/>
        <v>339.68115028150356</v>
      </c>
      <c r="K46" s="155">
        <f t="shared" ref="K46:K51" si="17">$J$8-J46</f>
        <v>661.31884971849649</v>
      </c>
      <c r="L46" s="155">
        <f t="shared" si="16"/>
        <v>0.65412349131404202</v>
      </c>
      <c r="M46" s="146"/>
      <c r="N46" s="146"/>
      <c r="O46" s="146"/>
      <c r="P46" s="146"/>
      <c r="Q46" s="146"/>
      <c r="R46" s="146"/>
      <c r="S46" s="146"/>
      <c r="T46" s="146"/>
    </row>
    <row r="47" spans="2:21" ht="17" thickBot="1" x14ac:dyDescent="0.25">
      <c r="B47" s="99">
        <v>2030</v>
      </c>
      <c r="C47" s="158">
        <f t="shared" si="8"/>
        <v>192.6056989977059</v>
      </c>
      <c r="D47" s="158">
        <f t="shared" si="9"/>
        <v>74.706422960401653</v>
      </c>
      <c r="E47" s="158">
        <f t="shared" si="10"/>
        <v>0</v>
      </c>
      <c r="F47" s="158">
        <f t="shared" si="11"/>
        <v>0.44492960480802668</v>
      </c>
      <c r="G47" s="158">
        <f t="shared" si="12"/>
        <v>7.9101299719250822</v>
      </c>
      <c r="H47" s="158">
        <f t="shared" si="13"/>
        <v>3.3899897531948815</v>
      </c>
      <c r="I47" s="157">
        <f t="shared" si="14"/>
        <v>0.51412869335575329</v>
      </c>
      <c r="J47" s="155">
        <f t="shared" si="15"/>
        <v>279.57129998139129</v>
      </c>
      <c r="K47" s="155">
        <f t="shared" si="17"/>
        <v>721.42870001860865</v>
      </c>
      <c r="L47" s="155">
        <f t="shared" si="16"/>
        <v>0.71357932741702146</v>
      </c>
      <c r="M47" s="146"/>
      <c r="N47" s="146"/>
      <c r="O47" s="146"/>
      <c r="P47" s="146"/>
      <c r="Q47" s="146"/>
      <c r="R47" s="146"/>
      <c r="S47" s="146"/>
      <c r="T47" s="146"/>
    </row>
    <row r="48" spans="2:21" ht="17" thickBot="1" x14ac:dyDescent="0.25">
      <c r="B48" s="99">
        <v>2035</v>
      </c>
      <c r="C48" s="158">
        <f t="shared" si="8"/>
        <v>170.21678551136634</v>
      </c>
      <c r="D48" s="158">
        <f t="shared" si="9"/>
        <v>56.902795117631726</v>
      </c>
      <c r="E48" s="158">
        <f t="shared" si="10"/>
        <v>0</v>
      </c>
      <c r="F48" s="158">
        <f t="shared" si="11"/>
        <v>0.43006055143179001</v>
      </c>
      <c r="G48" s="158">
        <f t="shared" si="12"/>
        <v>8.0942624320754391</v>
      </c>
      <c r="H48" s="158">
        <f t="shared" si="13"/>
        <v>4.1103984557952744</v>
      </c>
      <c r="I48" s="157">
        <f t="shared" si="14"/>
        <v>0.49162241598940071</v>
      </c>
      <c r="J48" s="155">
        <f t="shared" si="15"/>
        <v>240.24592448428993</v>
      </c>
      <c r="K48" s="155">
        <f t="shared" si="17"/>
        <v>760.75407551571004</v>
      </c>
      <c r="L48" s="155">
        <f t="shared" si="16"/>
        <v>0.75247683038151336</v>
      </c>
      <c r="M48" s="146"/>
      <c r="N48" s="146"/>
      <c r="O48" s="146"/>
      <c r="P48" s="146"/>
      <c r="Q48" s="146"/>
      <c r="R48" s="146"/>
      <c r="S48" s="146"/>
      <c r="T48" s="146"/>
    </row>
    <row r="49" spans="2:20" ht="17" thickBot="1" x14ac:dyDescent="0.25">
      <c r="B49" s="99">
        <v>2040</v>
      </c>
      <c r="C49" s="158">
        <f t="shared" si="8"/>
        <v>147.81489756034546</v>
      </c>
      <c r="D49" s="158">
        <f t="shared" si="9"/>
        <v>45.821732976494168</v>
      </c>
      <c r="E49" s="158">
        <f t="shared" si="10"/>
        <v>0</v>
      </c>
      <c r="F49" s="158">
        <f t="shared" si="11"/>
        <v>0.44117672402740304</v>
      </c>
      <c r="G49" s="158">
        <f t="shared" si="12"/>
        <v>9.1826040178786883</v>
      </c>
      <c r="H49" s="158">
        <f t="shared" si="13"/>
        <v>4.268809666389954</v>
      </c>
      <c r="I49" s="157">
        <f t="shared" si="14"/>
        <v>0.47238141257912325</v>
      </c>
      <c r="J49" s="155">
        <f t="shared" si="15"/>
        <v>208.0016023577148</v>
      </c>
      <c r="K49" s="155">
        <f t="shared" si="17"/>
        <v>792.99839764228523</v>
      </c>
      <c r="L49" s="155">
        <f t="shared" si="16"/>
        <v>0.78437032407743346</v>
      </c>
      <c r="M49" s="146"/>
      <c r="N49" s="146"/>
      <c r="O49" s="146"/>
      <c r="P49" s="146"/>
      <c r="Q49" s="146"/>
      <c r="R49" s="146"/>
      <c r="S49" s="146"/>
      <c r="T49" s="146"/>
    </row>
    <row r="50" spans="2:20" x14ac:dyDescent="0.2">
      <c r="B50" s="99">
        <v>2045</v>
      </c>
      <c r="C50" s="158">
        <f t="shared" si="8"/>
        <v>129.49516257026787</v>
      </c>
      <c r="D50" s="158">
        <f t="shared" si="9"/>
        <v>34.397341465993051</v>
      </c>
      <c r="E50" s="158">
        <f t="shared" si="10"/>
        <v>0</v>
      </c>
      <c r="F50" s="158">
        <f t="shared" si="11"/>
        <v>0.46357132614174101</v>
      </c>
      <c r="G50" s="158">
        <f t="shared" si="12"/>
        <v>10.175915777279375</v>
      </c>
      <c r="H50" s="158">
        <f t="shared" si="13"/>
        <v>4.3839474661094675</v>
      </c>
      <c r="I50" s="157">
        <f t="shared" si="14"/>
        <v>0.4559415469943392</v>
      </c>
      <c r="J50" s="155">
        <f t="shared" si="15"/>
        <v>179.37188015278585</v>
      </c>
      <c r="K50" s="155">
        <f t="shared" si="17"/>
        <v>821.62811984721418</v>
      </c>
      <c r="L50" s="155">
        <f t="shared" si="16"/>
        <v>0.81268854584294181</v>
      </c>
      <c r="M50" s="146"/>
      <c r="N50" s="146"/>
      <c r="O50" s="146"/>
      <c r="P50" s="146"/>
      <c r="Q50" s="146"/>
      <c r="R50" s="146"/>
      <c r="S50" s="146"/>
      <c r="T50" s="146"/>
    </row>
    <row r="51" spans="2:20" x14ac:dyDescent="0.2">
      <c r="B51" s="98">
        <v>2050</v>
      </c>
      <c r="C51" s="158">
        <f t="shared" si="8"/>
        <v>117.05577924653022</v>
      </c>
      <c r="D51" s="158">
        <f t="shared" si="9"/>
        <v>32.483946088968118</v>
      </c>
      <c r="E51" s="158">
        <f t="shared" si="10"/>
        <v>0</v>
      </c>
      <c r="F51" s="158">
        <f t="shared" si="11"/>
        <v>0.43813827825162888</v>
      </c>
      <c r="G51" s="158">
        <f t="shared" si="12"/>
        <v>11.64279639000895</v>
      </c>
      <c r="H51" s="158">
        <f t="shared" si="13"/>
        <v>4.163614998042779</v>
      </c>
      <c r="I51" s="157">
        <f t="shared" si="14"/>
        <v>0.44361365255172169</v>
      </c>
      <c r="J51" s="155">
        <f t="shared" si="15"/>
        <v>166.22788865435345</v>
      </c>
      <c r="K51" s="155">
        <f t="shared" si="17"/>
        <v>834.77211134564652</v>
      </c>
      <c r="L51" s="155">
        <f t="shared" si="16"/>
        <v>0.82568952655355743</v>
      </c>
    </row>
    <row r="52" spans="2:20" x14ac:dyDescent="0.2">
      <c r="B52" s="226"/>
      <c r="C52" s="225"/>
      <c r="D52" s="225"/>
      <c r="E52" s="225"/>
      <c r="F52" s="225"/>
      <c r="G52" s="225"/>
      <c r="H52" s="225"/>
      <c r="I52" s="225"/>
      <c r="J52" s="151"/>
      <c r="K52" s="151"/>
      <c r="L52" s="151"/>
    </row>
    <row r="53" spans="2:20" x14ac:dyDescent="0.2">
      <c r="B53" s="4"/>
      <c r="C53" s="4"/>
      <c r="D53" s="4"/>
      <c r="E53" s="4"/>
      <c r="F53" s="4"/>
      <c r="G53" s="4"/>
      <c r="H53" s="4"/>
      <c r="I53" s="4"/>
      <c r="J53" s="4"/>
      <c r="K53" s="4"/>
    </row>
  </sheetData>
  <mergeCells count="7">
    <mergeCell ref="K42:K43"/>
    <mergeCell ref="L42:L43"/>
    <mergeCell ref="B2:I2"/>
    <mergeCell ref="B17:I17"/>
    <mergeCell ref="B29:I29"/>
    <mergeCell ref="B42:I42"/>
    <mergeCell ref="J42:J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U52"/>
  <sheetViews>
    <sheetView tabSelected="1" zoomScale="85" zoomScaleNormal="85" workbookViewId="0">
      <selection activeCell="I15" sqref="I15"/>
    </sheetView>
  </sheetViews>
  <sheetFormatPr baseColWidth="10" defaultColWidth="11" defaultRowHeight="16" x14ac:dyDescent="0.2"/>
  <cols>
    <col min="1" max="1" width="16.33203125" customWidth="1"/>
    <col min="2" max="2" width="17.83203125" customWidth="1"/>
    <col min="3" max="3" width="13.6640625" customWidth="1"/>
    <col min="4" max="4" width="13.33203125" customWidth="1"/>
    <col min="5" max="6" width="13" bestFit="1" customWidth="1"/>
    <col min="9" max="10" width="13" customWidth="1"/>
    <col min="13" max="13" width="11.83203125" customWidth="1"/>
    <col min="16" max="16" width="12" customWidth="1"/>
  </cols>
  <sheetData>
    <row r="1" spans="1:13" ht="30" customHeight="1" x14ac:dyDescent="0.2">
      <c r="A1" s="33" t="s">
        <v>271</v>
      </c>
      <c r="F1" s="1"/>
    </row>
    <row r="2" spans="1:13" x14ac:dyDescent="0.2">
      <c r="A2" t="s">
        <v>276</v>
      </c>
    </row>
    <row r="3" spans="1:13" x14ac:dyDescent="0.2">
      <c r="A3" s="1" t="s">
        <v>401</v>
      </c>
      <c r="E3" s="49" t="s">
        <v>274</v>
      </c>
    </row>
    <row r="4" spans="1:13" x14ac:dyDescent="0.2">
      <c r="E4" s="23"/>
    </row>
    <row r="5" spans="1:13" x14ac:dyDescent="0.2">
      <c r="A5" s="1" t="s">
        <v>398</v>
      </c>
      <c r="E5" s="319" t="s">
        <v>337</v>
      </c>
      <c r="F5" s="319"/>
      <c r="G5" s="319"/>
      <c r="H5" s="319"/>
      <c r="I5" s="319"/>
      <c r="J5" s="319"/>
      <c r="K5" s="319"/>
      <c r="L5" s="319"/>
      <c r="M5" s="319"/>
    </row>
    <row r="6" spans="1:13" s="20" customFormat="1" ht="51" x14ac:dyDescent="0.2">
      <c r="B6" s="37" t="s">
        <v>857</v>
      </c>
      <c r="C6" s="37" t="s">
        <v>275</v>
      </c>
      <c r="D6" s="37" t="s">
        <v>336</v>
      </c>
      <c r="E6" s="37">
        <v>2022</v>
      </c>
      <c r="F6" s="37">
        <v>2025</v>
      </c>
      <c r="G6" s="37">
        <v>2030</v>
      </c>
      <c r="H6" s="37">
        <v>2035</v>
      </c>
      <c r="I6" s="37">
        <v>2040</v>
      </c>
      <c r="J6" s="37">
        <v>2045</v>
      </c>
      <c r="K6" s="37">
        <v>2050</v>
      </c>
      <c r="L6" s="37">
        <v>2055</v>
      </c>
      <c r="M6" s="37">
        <v>2060</v>
      </c>
    </row>
    <row r="7" spans="1:13" x14ac:dyDescent="0.2">
      <c r="B7" t="str">
        <f>'Coal Production'!B6</f>
        <v>Example Project</v>
      </c>
      <c r="D7" s="25"/>
      <c r="E7" s="47">
        <f>'Coal Production'!C6</f>
        <v>2000000</v>
      </c>
      <c r="F7" s="47">
        <f>'Coal Production'!D6</f>
        <v>2000000</v>
      </c>
      <c r="G7" s="47">
        <f>'Coal Production'!E6</f>
        <v>2250000</v>
      </c>
      <c r="H7" s="47">
        <f>'Coal Production'!F6</f>
        <v>2250000</v>
      </c>
      <c r="I7" s="47">
        <f>'Coal Production'!G6</f>
        <v>2250000</v>
      </c>
      <c r="J7" s="47">
        <f>'Coal Production'!H6</f>
        <v>2250000</v>
      </c>
      <c r="K7" s="47">
        <f>'Coal Production'!I6</f>
        <v>2250000</v>
      </c>
      <c r="L7" s="47">
        <f>'Coal Production'!J6</f>
        <v>2000000</v>
      </c>
      <c r="M7" s="47">
        <f>'Coal Production'!K6</f>
        <v>1225000</v>
      </c>
    </row>
    <row r="8" spans="1:13" x14ac:dyDescent="0.2">
      <c r="D8" s="25"/>
      <c r="E8" s="47"/>
      <c r="F8" s="47"/>
      <c r="G8" s="47"/>
      <c r="H8" s="47"/>
      <c r="I8" s="47"/>
      <c r="J8" s="47"/>
      <c r="K8" s="47"/>
      <c r="L8" s="47"/>
      <c r="M8" s="47"/>
    </row>
    <row r="9" spans="1:13" x14ac:dyDescent="0.2">
      <c r="D9" s="25"/>
      <c r="E9" s="47"/>
      <c r="F9" s="47"/>
      <c r="G9" s="47"/>
      <c r="H9" s="47"/>
      <c r="I9" s="47"/>
      <c r="J9" s="47"/>
      <c r="K9" s="47"/>
      <c r="L9" s="47"/>
      <c r="M9" s="47"/>
    </row>
    <row r="10" spans="1:13" x14ac:dyDescent="0.2">
      <c r="D10" s="25"/>
    </row>
    <row r="11" spans="1:13" ht="17" x14ac:dyDescent="0.2">
      <c r="B11" s="20" t="s">
        <v>272</v>
      </c>
      <c r="C11" s="20" t="s">
        <v>264</v>
      </c>
      <c r="D11" s="261">
        <v>0.9</v>
      </c>
      <c r="E11" s="26">
        <f t="shared" ref="E11:M11" si="0">$D$11*E7</f>
        <v>1800000</v>
      </c>
      <c r="F11" s="26">
        <f t="shared" si="0"/>
        <v>1800000</v>
      </c>
      <c r="G11" s="26">
        <f t="shared" si="0"/>
        <v>2025000</v>
      </c>
      <c r="H11" s="26">
        <f t="shared" si="0"/>
        <v>2025000</v>
      </c>
      <c r="I11" s="26">
        <f t="shared" si="0"/>
        <v>2025000</v>
      </c>
      <c r="J11" s="26">
        <f t="shared" si="0"/>
        <v>2025000</v>
      </c>
      <c r="K11" s="26">
        <f t="shared" si="0"/>
        <v>2025000</v>
      </c>
      <c r="L11" s="26">
        <f t="shared" si="0"/>
        <v>1800000</v>
      </c>
      <c r="M11" s="26">
        <f t="shared" si="0"/>
        <v>1102500</v>
      </c>
    </row>
    <row r="12" spans="1:13" x14ac:dyDescent="0.2">
      <c r="D12" s="262"/>
      <c r="E12" s="27"/>
      <c r="F12" s="27"/>
      <c r="G12" s="27"/>
    </row>
    <row r="13" spans="1:13" ht="17" x14ac:dyDescent="0.2">
      <c r="B13" s="20" t="s">
        <v>273</v>
      </c>
      <c r="C13" s="20" t="s">
        <v>262</v>
      </c>
      <c r="D13" s="261">
        <v>0</v>
      </c>
      <c r="E13" s="26">
        <f>$D$13*E7</f>
        <v>0</v>
      </c>
      <c r="F13" s="26">
        <f t="shared" ref="F13:M13" si="1">$D$13*F7</f>
        <v>0</v>
      </c>
      <c r="G13" s="26">
        <f t="shared" si="1"/>
        <v>0</v>
      </c>
      <c r="H13" s="26">
        <f t="shared" si="1"/>
        <v>0</v>
      </c>
      <c r="I13" s="26">
        <f t="shared" si="1"/>
        <v>0</v>
      </c>
      <c r="J13" s="26">
        <f t="shared" si="1"/>
        <v>0</v>
      </c>
      <c r="K13" s="26">
        <f t="shared" si="1"/>
        <v>0</v>
      </c>
      <c r="L13" s="26">
        <f t="shared" si="1"/>
        <v>0</v>
      </c>
      <c r="M13" s="26">
        <f t="shared" si="1"/>
        <v>0</v>
      </c>
    </row>
    <row r="14" spans="1:13" x14ac:dyDescent="0.2">
      <c r="B14" s="20"/>
      <c r="C14" s="20"/>
      <c r="D14" s="263"/>
      <c r="E14" s="26"/>
      <c r="F14" s="26"/>
      <c r="G14" s="26"/>
    </row>
    <row r="15" spans="1:13" ht="17" x14ac:dyDescent="0.2">
      <c r="B15" s="20" t="s">
        <v>285</v>
      </c>
      <c r="C15" s="20" t="s">
        <v>263</v>
      </c>
      <c r="D15" s="261">
        <v>0.1</v>
      </c>
      <c r="E15" s="26">
        <f>$D$15*E7</f>
        <v>200000</v>
      </c>
      <c r="F15" s="26">
        <f t="shared" ref="F15:M15" si="2">$D$15*F7</f>
        <v>200000</v>
      </c>
      <c r="G15" s="26">
        <f t="shared" si="2"/>
        <v>225000</v>
      </c>
      <c r="H15" s="26">
        <f t="shared" si="2"/>
        <v>225000</v>
      </c>
      <c r="I15" s="26">
        <f t="shared" si="2"/>
        <v>225000</v>
      </c>
      <c r="J15" s="26">
        <f t="shared" si="2"/>
        <v>225000</v>
      </c>
      <c r="K15" s="26">
        <f t="shared" si="2"/>
        <v>225000</v>
      </c>
      <c r="L15" s="26">
        <f t="shared" si="2"/>
        <v>200000</v>
      </c>
      <c r="M15" s="26">
        <f t="shared" si="2"/>
        <v>122500</v>
      </c>
    </row>
    <row r="16" spans="1:13" x14ac:dyDescent="0.2">
      <c r="B16" s="20"/>
      <c r="C16" s="20"/>
      <c r="D16" s="263"/>
      <c r="E16" s="26"/>
      <c r="F16" s="26"/>
      <c r="G16" s="26"/>
    </row>
    <row r="17" spans="1:18" ht="17" x14ac:dyDescent="0.2">
      <c r="B17" s="20" t="s">
        <v>286</v>
      </c>
      <c r="C17" s="20" t="s">
        <v>284</v>
      </c>
      <c r="D17" s="261">
        <v>0</v>
      </c>
      <c r="E17" s="26">
        <f>$D$17*E7</f>
        <v>0</v>
      </c>
      <c r="F17" s="26">
        <f t="shared" ref="F17:M17" si="3">$D$17*F7</f>
        <v>0</v>
      </c>
      <c r="G17" s="26">
        <f t="shared" si="3"/>
        <v>0</v>
      </c>
      <c r="H17" s="26">
        <f t="shared" si="3"/>
        <v>0</v>
      </c>
      <c r="I17" s="26">
        <f t="shared" si="3"/>
        <v>0</v>
      </c>
      <c r="J17" s="26">
        <f t="shared" si="3"/>
        <v>0</v>
      </c>
      <c r="K17" s="26">
        <f t="shared" si="3"/>
        <v>0</v>
      </c>
      <c r="L17" s="26">
        <f t="shared" si="3"/>
        <v>0</v>
      </c>
      <c r="M17" s="26">
        <f t="shared" si="3"/>
        <v>0</v>
      </c>
    </row>
    <row r="18" spans="1:18" x14ac:dyDescent="0.2">
      <c r="D18" s="264"/>
    </row>
    <row r="19" spans="1:18" ht="17" x14ac:dyDescent="0.2">
      <c r="B19" s="20" t="s">
        <v>289</v>
      </c>
      <c r="C19" s="20" t="s">
        <v>287</v>
      </c>
      <c r="D19" s="261">
        <v>0</v>
      </c>
      <c r="E19" s="26">
        <f>$D$19*E7</f>
        <v>0</v>
      </c>
      <c r="F19" s="26">
        <f t="shared" ref="F19:M19" si="4">$D$19*F7</f>
        <v>0</v>
      </c>
      <c r="G19" s="26">
        <f t="shared" si="4"/>
        <v>0</v>
      </c>
      <c r="H19" s="26">
        <f t="shared" si="4"/>
        <v>0</v>
      </c>
      <c r="I19" s="26">
        <f t="shared" si="4"/>
        <v>0</v>
      </c>
      <c r="J19" s="26">
        <f t="shared" si="4"/>
        <v>0</v>
      </c>
      <c r="K19" s="26">
        <f t="shared" si="4"/>
        <v>0</v>
      </c>
      <c r="L19" s="26">
        <f t="shared" si="4"/>
        <v>0</v>
      </c>
      <c r="M19" s="26">
        <f t="shared" si="4"/>
        <v>0</v>
      </c>
    </row>
    <row r="20" spans="1:18" x14ac:dyDescent="0.2">
      <c r="D20" s="264"/>
    </row>
    <row r="21" spans="1:18" ht="17" x14ac:dyDescent="0.2">
      <c r="B21" s="20" t="s">
        <v>290</v>
      </c>
      <c r="C21" s="20" t="s">
        <v>288</v>
      </c>
      <c r="D21" s="261">
        <v>0</v>
      </c>
      <c r="E21" s="26">
        <f>$D$21*E7</f>
        <v>0</v>
      </c>
      <c r="F21" s="26">
        <f t="shared" ref="F21:M21" si="5">$D$21*F7</f>
        <v>0</v>
      </c>
      <c r="G21" s="26">
        <f t="shared" si="5"/>
        <v>0</v>
      </c>
      <c r="H21" s="26">
        <f t="shared" si="5"/>
        <v>0</v>
      </c>
      <c r="I21" s="26">
        <f t="shared" si="5"/>
        <v>0</v>
      </c>
      <c r="J21" s="26">
        <f t="shared" si="5"/>
        <v>0</v>
      </c>
      <c r="K21" s="26">
        <f t="shared" si="5"/>
        <v>0</v>
      </c>
      <c r="L21" s="26">
        <f t="shared" si="5"/>
        <v>0</v>
      </c>
      <c r="M21" s="26">
        <f t="shared" si="5"/>
        <v>0</v>
      </c>
    </row>
    <row r="22" spans="1:18" x14ac:dyDescent="0.2">
      <c r="D22" s="25"/>
    </row>
    <row r="23" spans="1:18" x14ac:dyDescent="0.2">
      <c r="C23" s="22"/>
      <c r="D23" s="315">
        <f>D11+D13+D15+D17+D19+D21</f>
        <v>1</v>
      </c>
      <c r="E23" s="307" t="b">
        <f>IF(D11+D13+D15+D17+D19+D21=100%, TRUE, FALSE)</f>
        <v>1</v>
      </c>
    </row>
    <row r="24" spans="1:18" ht="51" x14ac:dyDescent="0.2">
      <c r="A24" s="37" t="s">
        <v>400</v>
      </c>
      <c r="B24" s="37" t="s">
        <v>278</v>
      </c>
      <c r="C24" s="38"/>
      <c r="D24" s="37"/>
      <c r="E24" s="37" t="s">
        <v>148</v>
      </c>
      <c r="F24" s="37" t="s">
        <v>265</v>
      </c>
      <c r="G24" s="37" t="s">
        <v>26</v>
      </c>
      <c r="H24" s="37" t="s">
        <v>36</v>
      </c>
      <c r="I24" s="37" t="s">
        <v>65</v>
      </c>
      <c r="J24" s="37" t="s">
        <v>267</v>
      </c>
      <c r="K24" s="37" t="s">
        <v>266</v>
      </c>
      <c r="L24" s="37" t="s">
        <v>77</v>
      </c>
      <c r="M24" s="39" t="s">
        <v>246</v>
      </c>
      <c r="N24" s="39" t="s">
        <v>283</v>
      </c>
      <c r="O24" s="39" t="s">
        <v>248</v>
      </c>
      <c r="P24" s="39" t="s">
        <v>86</v>
      </c>
      <c r="Q24" s="39" t="s">
        <v>282</v>
      </c>
      <c r="R24" s="39" t="s">
        <v>31</v>
      </c>
    </row>
    <row r="25" spans="1:18" x14ac:dyDescent="0.2">
      <c r="B25" s="259">
        <f>SUM(E25:R25)</f>
        <v>1800000.0000000002</v>
      </c>
      <c r="C25" s="27" t="str">
        <f>C11</f>
        <v>New Orleans</v>
      </c>
      <c r="E25" s="24">
        <f>$E$11*'Port Export  SUMMARY'!C9</f>
        <v>502317.34526079317</v>
      </c>
      <c r="F25" s="24">
        <f>$E$11*'Port Export  SUMMARY'!D9</f>
        <v>617690.81615807186</v>
      </c>
      <c r="G25" s="24">
        <f>$E$11*'Port Export  SUMMARY'!E9</f>
        <v>4817.0377407962505</v>
      </c>
      <c r="H25" s="24">
        <f>$E$11*'Port Export  SUMMARY'!F9</f>
        <v>16324.577645562164</v>
      </c>
      <c r="I25" s="24">
        <f>$E$11*'Port Export  SUMMARY'!G9</f>
        <v>459087.82285553357</v>
      </c>
      <c r="J25" s="24">
        <f>$E$11*'Port Export  SUMMARY'!H9</f>
        <v>0</v>
      </c>
      <c r="K25" s="24">
        <f>$E$11*'Port Export  SUMMARY'!I9</f>
        <v>0</v>
      </c>
      <c r="L25" s="24">
        <f>$E$11*'Port Export  SUMMARY'!J9</f>
        <v>0</v>
      </c>
      <c r="M25" s="24">
        <f>$E$11*'Port Export  SUMMARY'!K9</f>
        <v>160430.39042091396</v>
      </c>
      <c r="N25" s="24">
        <f>$E$11*'Port Export  SUMMARY'!L9</f>
        <v>0</v>
      </c>
      <c r="O25" s="24">
        <f>$E$11*'Port Export  SUMMARY'!M9</f>
        <v>8831.4482897032594</v>
      </c>
      <c r="P25" s="24">
        <f>$E$11*'Port Export  SUMMARY'!N9</f>
        <v>823.74896009685256</v>
      </c>
      <c r="Q25" s="24">
        <f>$E$11*'Port Export  SUMMARY'!O9</f>
        <v>29676.812668529052</v>
      </c>
      <c r="R25" s="24">
        <f>$E$11*'Port Export  SUMMARY'!P9</f>
        <v>0</v>
      </c>
    </row>
    <row r="26" spans="1:18" x14ac:dyDescent="0.2">
      <c r="B26" s="259">
        <f t="shared" ref="B26:B30" si="6">SUM(E26:R26)</f>
        <v>0</v>
      </c>
      <c r="C26" t="str">
        <f>C13</f>
        <v>Norfolk</v>
      </c>
      <c r="E26" s="24">
        <f>$E$13*'Port Export  SUMMARY'!C7</f>
        <v>0</v>
      </c>
      <c r="F26" s="24">
        <f>$E$13*'Port Export  SUMMARY'!D7</f>
        <v>0</v>
      </c>
      <c r="G26" s="24">
        <f>$E$13*'Port Export  SUMMARY'!E7</f>
        <v>0</v>
      </c>
      <c r="H26" s="24">
        <f>$E$13*'Port Export  SUMMARY'!F7</f>
        <v>0</v>
      </c>
      <c r="I26" s="24">
        <f>$E$13*'Port Export  SUMMARY'!G7</f>
        <v>0</v>
      </c>
      <c r="J26" s="24">
        <f>$E$13*'Port Export  SUMMARY'!H7</f>
        <v>0</v>
      </c>
      <c r="K26" s="24">
        <f>$E$13*'Port Export  SUMMARY'!I7</f>
        <v>0</v>
      </c>
      <c r="L26" s="24">
        <f>$E$13*'Port Export  SUMMARY'!J7</f>
        <v>0</v>
      </c>
      <c r="M26" s="24">
        <f>$E$13*'Port Export  SUMMARY'!K7</f>
        <v>0</v>
      </c>
      <c r="N26" s="24">
        <f>$E$13*'Port Export  SUMMARY'!L7</f>
        <v>0</v>
      </c>
      <c r="O26" s="24">
        <f>$E$13*'Port Export  SUMMARY'!M7</f>
        <v>0</v>
      </c>
      <c r="P26" s="24">
        <f>$E$13*'Port Export  SUMMARY'!N7</f>
        <v>0</v>
      </c>
      <c r="Q26" s="24">
        <f>$E$13*'Port Export  SUMMARY'!O7</f>
        <v>0</v>
      </c>
      <c r="R26" s="24">
        <f>$E$13*'Port Export  SUMMARY'!P7</f>
        <v>0</v>
      </c>
    </row>
    <row r="27" spans="1:18" x14ac:dyDescent="0.2">
      <c r="B27" s="259">
        <f t="shared" si="6"/>
        <v>200000</v>
      </c>
      <c r="C27" t="s">
        <v>263</v>
      </c>
      <c r="E27" s="24">
        <f>$E$15*'Port Export  SUMMARY'!C8</f>
        <v>8544.2578484618207</v>
      </c>
      <c r="F27" s="24">
        <f>$E$15*'Port Export  SUMMARY'!D8</f>
        <v>12019.88606523445</v>
      </c>
      <c r="G27" s="24">
        <f>$E$15*'Port Export  SUMMARY'!E8</f>
        <v>7585.0494602927465</v>
      </c>
      <c r="H27" s="24">
        <f>$E$15*'Port Export  SUMMARY'!F8</f>
        <v>2094.3236513497313</v>
      </c>
      <c r="I27" s="24">
        <f>$E$15*'Port Export  SUMMARY'!G8</f>
        <v>143167.32778488327</v>
      </c>
      <c r="J27" s="24">
        <f>$E$15*'Port Export  SUMMARY'!H8</f>
        <v>0</v>
      </c>
      <c r="K27" s="24">
        <f>$E$15*'Port Export  SUMMARY'!I8</f>
        <v>0</v>
      </c>
      <c r="L27" s="24">
        <f>$E$15*'Port Export  SUMMARY'!J8</f>
        <v>0</v>
      </c>
      <c r="M27" s="24">
        <f>$E$15*'Port Export  SUMMARY'!K8</f>
        <v>13550.235716448247</v>
      </c>
      <c r="N27" s="24">
        <f>$E$15*'Port Export  SUMMARY'!L8</f>
        <v>0</v>
      </c>
      <c r="O27" s="24">
        <f>$E$15*'Port Export  SUMMARY'!M8</f>
        <v>0</v>
      </c>
      <c r="P27" s="24">
        <f>$E$15*'Port Export  SUMMARY'!N8</f>
        <v>0</v>
      </c>
      <c r="Q27" s="24">
        <f>$E$15*'Port Export  SUMMARY'!O8</f>
        <v>1004.5907554665827</v>
      </c>
      <c r="R27" s="24">
        <f>$E$15*'Port Export  SUMMARY'!P8</f>
        <v>12034.328717863167</v>
      </c>
    </row>
    <row r="28" spans="1:18" x14ac:dyDescent="0.2">
      <c r="B28" s="259">
        <f t="shared" si="6"/>
        <v>0</v>
      </c>
      <c r="C28" t="s">
        <v>284</v>
      </c>
      <c r="E28" s="24">
        <f>$E$17*'Port Export  SUMMARY'!C10</f>
        <v>0</v>
      </c>
      <c r="F28" s="24">
        <f>$E$17*'Port Export  SUMMARY'!D10</f>
        <v>0</v>
      </c>
      <c r="G28" s="24"/>
      <c r="H28" s="24">
        <f>$E$17*'Port Export  SUMMARY'!E10</f>
        <v>0</v>
      </c>
      <c r="I28" s="24">
        <f>$E$17*'Port Export  SUMMARY'!F10</f>
        <v>0</v>
      </c>
      <c r="J28" s="24">
        <f>$E$17*'Port Export  SUMMARY'!G10</f>
        <v>0</v>
      </c>
      <c r="K28" s="24">
        <f>$E$17*'Port Export  SUMMARY'!H10</f>
        <v>0</v>
      </c>
      <c r="L28" s="24">
        <f>$E$17*'Port Export  SUMMARY'!I10</f>
        <v>0</v>
      </c>
      <c r="M28" s="24">
        <f>$E$17*'Port Export  SUMMARY'!J10</f>
        <v>0</v>
      </c>
      <c r="N28" s="24">
        <f>$E$17*'Port Export  SUMMARY'!K10</f>
        <v>0</v>
      </c>
      <c r="O28" s="24">
        <f>$E$17*'Port Export  SUMMARY'!L10</f>
        <v>0</v>
      </c>
      <c r="P28" s="24">
        <f>$E$17*'Port Export  SUMMARY'!M10</f>
        <v>0</v>
      </c>
      <c r="Q28" s="24">
        <f>$E$17*'Port Export  SUMMARY'!N10</f>
        <v>0</v>
      </c>
      <c r="R28" s="24">
        <f>$E$17*'Port Export  SUMMARY'!O10</f>
        <v>0</v>
      </c>
    </row>
    <row r="29" spans="1:18" x14ac:dyDescent="0.2">
      <c r="B29" s="259">
        <f t="shared" si="6"/>
        <v>0</v>
      </c>
      <c r="C29" t="s">
        <v>287</v>
      </c>
      <c r="E29" s="24">
        <f>$E$19*'Port Export  SUMMARY'!C11</f>
        <v>0</v>
      </c>
      <c r="F29" s="24">
        <f>$E$19*'Port Export  SUMMARY'!D11</f>
        <v>0</v>
      </c>
      <c r="G29" s="24">
        <f>$E$19*'Port Export  SUMMARY'!E11</f>
        <v>0</v>
      </c>
      <c r="H29" s="24">
        <f>$E$19*'Port Export  SUMMARY'!F11</f>
        <v>0</v>
      </c>
      <c r="I29" s="24">
        <f>$E$19*'Port Export  SUMMARY'!G11</f>
        <v>0</v>
      </c>
      <c r="J29" s="24">
        <f>$E$19*'Port Export  SUMMARY'!H11</f>
        <v>0</v>
      </c>
      <c r="K29" s="24">
        <f>$E$19*'Port Export  SUMMARY'!I11</f>
        <v>0</v>
      </c>
      <c r="L29" s="24">
        <f>$E$19*'Port Export  SUMMARY'!J11</f>
        <v>0</v>
      </c>
      <c r="M29" s="24">
        <f>$E$19*'Port Export  SUMMARY'!K11</f>
        <v>0</v>
      </c>
      <c r="N29" s="24">
        <f>$E$19*'Port Export  SUMMARY'!L11</f>
        <v>0</v>
      </c>
      <c r="O29" s="24">
        <f>$E$19*'Port Export  SUMMARY'!M11</f>
        <v>0</v>
      </c>
      <c r="P29" s="24">
        <f>$E$19*'Port Export  SUMMARY'!N11</f>
        <v>0</v>
      </c>
      <c r="Q29" s="24">
        <f>$E$19*'Port Export  SUMMARY'!O11</f>
        <v>0</v>
      </c>
      <c r="R29" s="24">
        <f>$E$19*'Port Export  SUMMARY'!P11</f>
        <v>0</v>
      </c>
    </row>
    <row r="30" spans="1:18" x14ac:dyDescent="0.2">
      <c r="B30" s="259">
        <f t="shared" si="6"/>
        <v>0</v>
      </c>
      <c r="C30" t="s">
        <v>288</v>
      </c>
      <c r="E30" s="24">
        <f>$E$21*'Port Export  SUMMARY'!C12</f>
        <v>0</v>
      </c>
      <c r="F30" s="24">
        <f>$E$21*'Port Export  SUMMARY'!D12</f>
        <v>0</v>
      </c>
      <c r="G30" s="24">
        <f>$E$21*'Port Export  SUMMARY'!E12</f>
        <v>0</v>
      </c>
      <c r="H30" s="24">
        <f>$E$21*'Port Export  SUMMARY'!F12</f>
        <v>0</v>
      </c>
      <c r="I30" s="24">
        <f>$E$21*'Port Export  SUMMARY'!G12</f>
        <v>0</v>
      </c>
      <c r="J30" s="24">
        <f>$E$21*'Port Export  SUMMARY'!H12</f>
        <v>0</v>
      </c>
      <c r="K30" s="24">
        <f>$E$21*'Port Export  SUMMARY'!I12</f>
        <v>0</v>
      </c>
      <c r="L30" s="24">
        <f>$E$21*'Port Export  SUMMARY'!J12</f>
        <v>0</v>
      </c>
      <c r="M30" s="24">
        <f>$E$21*'Port Export  SUMMARY'!K12</f>
        <v>0</v>
      </c>
      <c r="N30" s="24">
        <f>$E$21*'Port Export  SUMMARY'!L12</f>
        <v>0</v>
      </c>
      <c r="O30" s="24">
        <f>$E$21*'Port Export  SUMMARY'!M12</f>
        <v>0</v>
      </c>
      <c r="P30" s="24">
        <f>$E$21*'Port Export  SUMMARY'!N12</f>
        <v>0</v>
      </c>
      <c r="Q30" s="24">
        <f>$E$21*'Port Export  SUMMARY'!O12</f>
        <v>0</v>
      </c>
      <c r="R30" s="24">
        <f>$E$21*'Port Export  SUMMARY'!P12</f>
        <v>0</v>
      </c>
    </row>
    <row r="31" spans="1:18" x14ac:dyDescent="0.2">
      <c r="B31" s="259">
        <f>SUM(B25:B30)</f>
        <v>2000000.0000000002</v>
      </c>
      <c r="C31" s="30" t="s">
        <v>391</v>
      </c>
      <c r="D31" s="30"/>
      <c r="E31" s="31">
        <f>(E25+E26+E27+E28+E29+E30)/$E$7</f>
        <v>0.2554308015546275</v>
      </c>
      <c r="F31" s="31">
        <f t="shared" ref="F31:R31" si="7">(F25+F26+F27+F28+F29+F30)/$E$7</f>
        <v>0.31485535111165314</v>
      </c>
      <c r="G31" s="31">
        <f t="shared" si="7"/>
        <v>6.2010436005444994E-3</v>
      </c>
      <c r="H31" s="31">
        <f t="shared" si="7"/>
        <v>9.2094506484559479E-3</v>
      </c>
      <c r="I31" s="31">
        <f t="shared" si="7"/>
        <v>0.30112757532020845</v>
      </c>
      <c r="J31" s="31">
        <f t="shared" si="7"/>
        <v>0</v>
      </c>
      <c r="K31" s="31">
        <f t="shared" si="7"/>
        <v>0</v>
      </c>
      <c r="L31" s="31">
        <f t="shared" si="7"/>
        <v>0</v>
      </c>
      <c r="M31" s="31">
        <f t="shared" si="7"/>
        <v>8.6990313068681102E-2</v>
      </c>
      <c r="N31" s="31">
        <f t="shared" si="7"/>
        <v>0</v>
      </c>
      <c r="O31" s="31">
        <f t="shared" si="7"/>
        <v>4.41572414485163E-3</v>
      </c>
      <c r="P31" s="31">
        <f t="shared" si="7"/>
        <v>4.1187448004842626E-4</v>
      </c>
      <c r="Q31" s="31">
        <f t="shared" si="7"/>
        <v>1.5340701711997817E-2</v>
      </c>
      <c r="R31" s="31">
        <f t="shared" si="7"/>
        <v>6.0171643589315834E-3</v>
      </c>
    </row>
    <row r="34" spans="1:21" ht="51" x14ac:dyDescent="0.2">
      <c r="B34" s="37" t="s">
        <v>277</v>
      </c>
      <c r="C34" s="38"/>
      <c r="D34" s="37" t="s">
        <v>270</v>
      </c>
      <c r="E34" s="37" t="s">
        <v>148</v>
      </c>
      <c r="F34" s="37" t="s">
        <v>265</v>
      </c>
      <c r="G34" s="37" t="s">
        <v>26</v>
      </c>
      <c r="H34" s="37" t="s">
        <v>36</v>
      </c>
      <c r="I34" s="37" t="s">
        <v>65</v>
      </c>
      <c r="J34" s="37" t="s">
        <v>267</v>
      </c>
      <c r="K34" s="37" t="s">
        <v>266</v>
      </c>
      <c r="L34" s="37" t="s">
        <v>77</v>
      </c>
      <c r="M34" s="39" t="s">
        <v>246</v>
      </c>
      <c r="N34" s="39" t="s">
        <v>283</v>
      </c>
      <c r="O34" s="39" t="s">
        <v>248</v>
      </c>
      <c r="P34" s="39" t="s">
        <v>86</v>
      </c>
      <c r="Q34" s="39" t="s">
        <v>282</v>
      </c>
      <c r="R34" s="39" t="s">
        <v>31</v>
      </c>
    </row>
    <row r="35" spans="1:21" x14ac:dyDescent="0.2">
      <c r="A35" s="29"/>
      <c r="D35" s="23">
        <v>2020</v>
      </c>
      <c r="E35" s="265">
        <f>+'CO2 per Kwh SUMMARY'!F7</f>
        <v>457.07673682294438</v>
      </c>
      <c r="F35" s="265">
        <f>+'CO2 per Kwh SUMMARY'!B7</f>
        <v>239.91621215858368</v>
      </c>
      <c r="G35" s="265">
        <f>+'CO2 per Kwh SUMMARY'!J7</f>
        <v>70.386412223871432</v>
      </c>
      <c r="H35" s="265">
        <f>+'CO2 per Kwh SUMMARY'!E7</f>
        <v>648.28162219588012</v>
      </c>
      <c r="I35" s="265">
        <f>+'CO2 per Kwh SUMMARY'!C7</f>
        <v>712.27626433551336</v>
      </c>
      <c r="J35" s="265">
        <f>+'CO2 per Kwh SUMMARY'!N7</f>
        <v>595.75522920976107</v>
      </c>
      <c r="K35" s="265">
        <f>+'CO2 per Kwh SUMMARY'!I7</f>
        <v>443.32210148199965</v>
      </c>
      <c r="L35" s="265">
        <f>+'CO2 per Kwh SUMMARY'!H7</f>
        <v>481.006882296762</v>
      </c>
      <c r="M35" s="265">
        <f>+'CO2 per Kwh SUMMARY'!L7</f>
        <v>202.29745367536992</v>
      </c>
      <c r="N35" s="265">
        <f>+'CO2 per Kwh SUMMARY'!D7</f>
        <v>536.44172777147435</v>
      </c>
      <c r="O35" s="265">
        <f>+'CO2 per Kwh SUMMARY'!M7</f>
        <v>348.11502005942896</v>
      </c>
      <c r="P35" s="265">
        <f>+'CO2 per Kwh SUMMARY'!K7</f>
        <v>323.92861353206325</v>
      </c>
      <c r="Q35" s="265">
        <f>+'CO2 per Kwh SUMMARY'!D7</f>
        <v>536.44172777147435</v>
      </c>
      <c r="R35" s="275">
        <f>+'CO2 per Kwh SUMMARY'!O7</f>
        <v>153.0448449558674</v>
      </c>
    </row>
    <row r="36" spans="1:21" x14ac:dyDescent="0.2">
      <c r="A36" s="29"/>
      <c r="B36" s="20"/>
      <c r="D36" s="23">
        <v>2025</v>
      </c>
      <c r="E36" s="265">
        <f>+'CO2 per Kwh SUMMARY'!F8</f>
        <v>401.33850448293657</v>
      </c>
      <c r="F36" s="265">
        <f>+'CO2 per Kwh SUMMARY'!B8</f>
        <v>190.91818835833143</v>
      </c>
      <c r="G36" s="265">
        <f>+'CO2 per Kwh SUMMARY'!J8</f>
        <v>52.791807541522573</v>
      </c>
      <c r="H36" s="265">
        <f>+'CO2 per Kwh SUMMARY'!E8</f>
        <v>541.11383142382488</v>
      </c>
      <c r="I36" s="265">
        <f>+'CO2 per Kwh SUMMARY'!C8</f>
        <v>519.3645674629206</v>
      </c>
      <c r="J36" s="265">
        <f>+'CO2 per Kwh SUMMARY'!N8</f>
        <v>339.68115028150356</v>
      </c>
      <c r="K36" s="265">
        <f>+'CO2 per Kwh SUMMARY'!I8</f>
        <v>384.80486065031135</v>
      </c>
      <c r="L36" s="265">
        <f>+'CO2 per Kwh SUMMARY'!H8</f>
        <v>435.22651126729892</v>
      </c>
      <c r="M36" s="265">
        <f>+'CO2 per Kwh SUMMARY'!L8</f>
        <v>168.71934163448969</v>
      </c>
      <c r="N36" s="265">
        <f>+'CO2 per Kwh SUMMARY'!D8</f>
        <v>500.53175067823969</v>
      </c>
      <c r="O36" s="265">
        <f>+'CO2 per Kwh SUMMARY'!M8</f>
        <v>334.29825874336643</v>
      </c>
      <c r="P36" s="265">
        <f>+'CO2 per Kwh SUMMARY'!K8</f>
        <v>293.16893671247232</v>
      </c>
      <c r="Q36" s="265">
        <f>+'CO2 per Kwh SUMMARY'!D8</f>
        <v>500.53175067823969</v>
      </c>
      <c r="R36" s="275">
        <f>+'CO2 per Kwh SUMMARY'!O8</f>
        <v>153.0448449558674</v>
      </c>
    </row>
    <row r="37" spans="1:21" x14ac:dyDescent="0.2">
      <c r="D37" s="23">
        <v>2030</v>
      </c>
      <c r="E37" s="265">
        <f>+'CO2 per Kwh SUMMARY'!F9</f>
        <v>388.32982447093616</v>
      </c>
      <c r="F37" s="265">
        <f>+'CO2 per Kwh SUMMARY'!B9</f>
        <v>151.16372592051817</v>
      </c>
      <c r="G37" s="265">
        <f>+'CO2 per Kwh SUMMARY'!J9</f>
        <v>55.061266156766983</v>
      </c>
      <c r="H37" s="265">
        <f>+'CO2 per Kwh SUMMARY'!E9</f>
        <v>468.22678635091705</v>
      </c>
      <c r="I37" s="265">
        <f>+'CO2 per Kwh SUMMARY'!C9</f>
        <v>402.69148501784412</v>
      </c>
      <c r="J37" s="265">
        <f>+'CO2 per Kwh SUMMARY'!N9</f>
        <v>279.57129998139129</v>
      </c>
      <c r="K37" s="265">
        <f>+'CO2 per Kwh SUMMARY'!I9</f>
        <v>391.54229366887438</v>
      </c>
      <c r="L37" s="265">
        <f>+'CO2 per Kwh SUMMARY'!H9</f>
        <v>426.25415616146518</v>
      </c>
      <c r="M37" s="265">
        <f>+'CO2 per Kwh SUMMARY'!L9</f>
        <v>141.28027875979157</v>
      </c>
      <c r="N37" s="265">
        <f>+'CO2 per Kwh SUMMARY'!D9</f>
        <v>507.78002745744669</v>
      </c>
      <c r="O37" s="265">
        <f>+'CO2 per Kwh SUMMARY'!M9</f>
        <v>367.25563402897933</v>
      </c>
      <c r="P37" s="265">
        <f>+'CO2 per Kwh SUMMARY'!K9</f>
        <v>287.55512860737286</v>
      </c>
      <c r="Q37" s="265">
        <f>+'CO2 per Kwh SUMMARY'!D9</f>
        <v>507.78002745744669</v>
      </c>
      <c r="R37" s="275">
        <f>+'CO2 per Kwh SUMMARY'!O9</f>
        <v>126.13728503223228</v>
      </c>
    </row>
    <row r="38" spans="1:21" x14ac:dyDescent="0.2">
      <c r="D38" s="23">
        <v>2035</v>
      </c>
      <c r="E38" s="265">
        <f>+'CO2 per Kwh SUMMARY'!F10</f>
        <v>374.96913261037673</v>
      </c>
      <c r="F38" s="265">
        <f>+'CO2 per Kwh SUMMARY'!B10</f>
        <v>145.54426958285117</v>
      </c>
      <c r="G38" s="265">
        <f>+'CO2 per Kwh SUMMARY'!J10</f>
        <v>44.974506769092706</v>
      </c>
      <c r="H38" s="265">
        <f>+'CO2 per Kwh SUMMARY'!E10</f>
        <v>436.34122872160532</v>
      </c>
      <c r="I38" s="265">
        <f>+'CO2 per Kwh SUMMARY'!C10</f>
        <v>368.78692761074848</v>
      </c>
      <c r="J38" s="265">
        <f>+'CO2 per Kwh SUMMARY'!N10</f>
        <v>240.24592448428993</v>
      </c>
      <c r="K38" s="265">
        <f>+'CO2 per Kwh SUMMARY'!I10</f>
        <v>205.05762406577011</v>
      </c>
      <c r="L38" s="265">
        <f>+'CO2 per Kwh SUMMARY'!H10</f>
        <v>433.66784984659563</v>
      </c>
      <c r="M38" s="265">
        <f>+'CO2 per Kwh SUMMARY'!L10</f>
        <v>144.08946102664461</v>
      </c>
      <c r="N38" s="265">
        <f>+'CO2 per Kwh SUMMARY'!D10</f>
        <v>489.63354919812718</v>
      </c>
      <c r="O38" s="265">
        <f>+'CO2 per Kwh SUMMARY'!M10</f>
        <v>306.92014223125528</v>
      </c>
      <c r="P38" s="265">
        <f>+'CO2 per Kwh SUMMARY'!K10</f>
        <v>280.72747732126129</v>
      </c>
      <c r="Q38" s="265">
        <f>+'CO2 per Kwh SUMMARY'!D10</f>
        <v>489.63354919812718</v>
      </c>
      <c r="R38" s="275">
        <f>+'CO2 per Kwh SUMMARY'!O10</f>
        <v>126.13728503223228</v>
      </c>
    </row>
    <row r="39" spans="1:21" x14ac:dyDescent="0.2">
      <c r="D39" s="23">
        <v>2040</v>
      </c>
      <c r="E39" s="265">
        <f>+'CO2 per Kwh SUMMARY'!F11</f>
        <v>328.41060627991538</v>
      </c>
      <c r="F39" s="265">
        <f>+'CO2 per Kwh SUMMARY'!B11</f>
        <v>122.08491422350274</v>
      </c>
      <c r="G39" s="265">
        <f>+'CO2 per Kwh SUMMARY'!J11</f>
        <v>43.664727785085852</v>
      </c>
      <c r="H39" s="265">
        <f>+'CO2 per Kwh SUMMARY'!E11</f>
        <v>404.33038360187891</v>
      </c>
      <c r="I39" s="265">
        <f>+'CO2 per Kwh SUMMARY'!C11</f>
        <v>335.91730139927415</v>
      </c>
      <c r="J39" s="265">
        <f>+'CO2 per Kwh SUMMARY'!N11</f>
        <v>208.0016023577148</v>
      </c>
      <c r="K39" s="265">
        <f>+'CO2 per Kwh SUMMARY'!I11</f>
        <v>362.89154693681036</v>
      </c>
      <c r="L39" s="265">
        <f>+'CO2 per Kwh SUMMARY'!H11</f>
        <v>420.59561037932798</v>
      </c>
      <c r="M39" s="265">
        <f>+'CO2 per Kwh SUMMARY'!L11</f>
        <v>156.62798386781736</v>
      </c>
      <c r="N39" s="265">
        <f>+'CO2 per Kwh SUMMARY'!D11</f>
        <v>466.69079613821316</v>
      </c>
      <c r="O39" s="265">
        <f>+'CO2 per Kwh SUMMARY'!M11</f>
        <v>289.19225438656599</v>
      </c>
      <c r="P39" s="265">
        <f>+'CO2 per Kwh SUMMARY'!K11</f>
        <v>267.90112333384275</v>
      </c>
      <c r="Q39" s="265">
        <f>+'CO2 per Kwh SUMMARY'!D11</f>
        <v>466.69079613821316</v>
      </c>
      <c r="R39" s="275">
        <f>+'CO2 per Kwh SUMMARY'!O11</f>
        <v>127.53974814574292</v>
      </c>
    </row>
    <row r="40" spans="1:21" x14ac:dyDescent="0.2">
      <c r="D40" s="23">
        <v>2045</v>
      </c>
      <c r="E40" s="265">
        <f>+'CO2 per Kwh SUMMARY'!F12</f>
        <v>272.00051345430614</v>
      </c>
      <c r="F40" s="265">
        <f>+'CO2 per Kwh SUMMARY'!B12</f>
        <v>127.17147327483829</v>
      </c>
      <c r="G40" s="265">
        <f>+'CO2 per Kwh SUMMARY'!J12</f>
        <v>28.86234248777512</v>
      </c>
      <c r="H40" s="265">
        <f>+'CO2 per Kwh SUMMARY'!E12</f>
        <v>377.92865457173383</v>
      </c>
      <c r="I40" s="265">
        <f>+'CO2 per Kwh SUMMARY'!C12</f>
        <v>325.96825701152375</v>
      </c>
      <c r="J40" s="265">
        <f>+'CO2 per Kwh SUMMARY'!N12</f>
        <v>179.37188015278585</v>
      </c>
      <c r="K40" s="265">
        <f>+'CO2 per Kwh SUMMARY'!I12</f>
        <v>334.43771224204119</v>
      </c>
      <c r="L40" s="265">
        <f>+'CO2 per Kwh SUMMARY'!H12</f>
        <v>371.2073731106783</v>
      </c>
      <c r="M40" s="265">
        <f>+'CO2 per Kwh SUMMARY'!L12</f>
        <v>138.92094897795167</v>
      </c>
      <c r="N40" s="265">
        <f>+'CO2 per Kwh SUMMARY'!D12</f>
        <v>501.32407651307875</v>
      </c>
      <c r="O40" s="265">
        <f>+'CO2 per Kwh SUMMARY'!M12</f>
        <v>297.44280538076111</v>
      </c>
      <c r="P40" s="265">
        <f>+'CO2 per Kwh SUMMARY'!K12</f>
        <v>242.38104148839352</v>
      </c>
      <c r="Q40" s="265">
        <f>+'CO2 per Kwh SUMMARY'!D12</f>
        <v>501.32407651307875</v>
      </c>
      <c r="R40" s="275">
        <f>+'CO2 per Kwh SUMMARY'!O12</f>
        <v>127.53974814574292</v>
      </c>
    </row>
    <row r="41" spans="1:21" x14ac:dyDescent="0.2">
      <c r="D41" s="23">
        <v>2050</v>
      </c>
      <c r="E41" s="265">
        <f>+'CO2 per Kwh SUMMARY'!F13</f>
        <v>193.91393469855117</v>
      </c>
      <c r="F41" s="265">
        <f>+'CO2 per Kwh SUMMARY'!B13</f>
        <v>105.87805649637696</v>
      </c>
      <c r="G41" s="265">
        <f>+'CO2 per Kwh SUMMARY'!J13</f>
        <v>28.037074941764178</v>
      </c>
      <c r="H41" s="265">
        <f>+'CO2 per Kwh SUMMARY'!E13</f>
        <v>364.1094106687143</v>
      </c>
      <c r="I41" s="265">
        <f>+'CO2 per Kwh SUMMARY'!C13</f>
        <v>224.52168237354675</v>
      </c>
      <c r="J41" s="265">
        <f>+'CO2 per Kwh SUMMARY'!N13</f>
        <v>166.22788865435345</v>
      </c>
      <c r="K41" s="265">
        <f>+'CO2 per Kwh SUMMARY'!I13</f>
        <v>329.38862744355293</v>
      </c>
      <c r="L41" s="265">
        <f>+'CO2 per Kwh SUMMARY'!H13</f>
        <v>322.18718315949963</v>
      </c>
      <c r="M41" s="265">
        <f>+'CO2 per Kwh SUMMARY'!L13</f>
        <v>108.62106059958187</v>
      </c>
      <c r="N41" s="265">
        <f>+'CO2 per Kwh SUMMARY'!D13</f>
        <v>498.39026103333924</v>
      </c>
      <c r="O41" s="265">
        <f>+'CO2 per Kwh SUMMARY'!M13</f>
        <v>300.34065098337459</v>
      </c>
      <c r="P41" s="265">
        <f>+'CO2 per Kwh SUMMARY'!K13</f>
        <v>211.1720858301891</v>
      </c>
      <c r="Q41" s="265">
        <f>+'CO2 per Kwh SUMMARY'!D13</f>
        <v>498.39026103333924</v>
      </c>
      <c r="R41" s="275">
        <f>+'CO2 per Kwh SUMMARY'!O13</f>
        <v>139.79931278481175</v>
      </c>
    </row>
    <row r="42" spans="1:21" x14ac:dyDescent="0.2">
      <c r="D42" s="23"/>
    </row>
    <row r="43" spans="1:21" x14ac:dyDescent="0.2">
      <c r="D43" s="23"/>
    </row>
    <row r="44" spans="1:21" ht="51" x14ac:dyDescent="0.2">
      <c r="B44" s="37" t="s">
        <v>279</v>
      </c>
      <c r="C44" s="38"/>
      <c r="D44" s="37" t="s">
        <v>270</v>
      </c>
      <c r="E44" s="37" t="s">
        <v>148</v>
      </c>
      <c r="F44" s="37" t="s">
        <v>265</v>
      </c>
      <c r="G44" s="37" t="s">
        <v>26</v>
      </c>
      <c r="H44" s="37" t="s">
        <v>36</v>
      </c>
      <c r="I44" s="37" t="s">
        <v>65</v>
      </c>
      <c r="J44" s="37" t="s">
        <v>267</v>
      </c>
      <c r="K44" s="37" t="s">
        <v>266</v>
      </c>
      <c r="L44" s="37" t="s">
        <v>77</v>
      </c>
      <c r="M44" s="39" t="s">
        <v>246</v>
      </c>
      <c r="N44" s="39" t="s">
        <v>283</v>
      </c>
      <c r="O44" s="39" t="s">
        <v>248</v>
      </c>
      <c r="P44" s="39" t="s">
        <v>86</v>
      </c>
      <c r="Q44" s="39" t="s">
        <v>282</v>
      </c>
      <c r="R44" s="39" t="s">
        <v>31</v>
      </c>
      <c r="S44" s="40" t="s">
        <v>280</v>
      </c>
      <c r="T44" s="41" t="s">
        <v>281</v>
      </c>
      <c r="U44" s="278" t="s">
        <v>390</v>
      </c>
    </row>
    <row r="45" spans="1:21" x14ac:dyDescent="0.2">
      <c r="D45" s="23">
        <v>2020</v>
      </c>
      <c r="E45" s="265">
        <f>$E$31*E35</f>
        <v>116.7514772586582</v>
      </c>
      <c r="F45" s="265">
        <f>$F$31*F35</f>
        <v>75.538903216568727</v>
      </c>
      <c r="G45" s="265">
        <f>$G$31*G35</f>
        <v>0.43646921108612508</v>
      </c>
      <c r="H45" s="265">
        <f>$H$31*H35</f>
        <v>5.9703176059139222</v>
      </c>
      <c r="I45" s="265">
        <f>$I$31*I35</f>
        <v>214.48602443748899</v>
      </c>
      <c r="J45" s="265">
        <f>$J$31*J35</f>
        <v>0</v>
      </c>
      <c r="K45" s="265">
        <f>$K$31*K35</f>
        <v>0</v>
      </c>
      <c r="L45" s="265">
        <f>$L$31*L35</f>
        <v>0</v>
      </c>
      <c r="M45" s="265">
        <f>$M$31*M35</f>
        <v>17.597918828217441</v>
      </c>
      <c r="N45" s="265">
        <f>$N$31*N35</f>
        <v>0</v>
      </c>
      <c r="O45" s="265">
        <f>$O$31*O35</f>
        <v>1.5371798992619299</v>
      </c>
      <c r="P45" s="265">
        <f>$P$31*P35</f>
        <v>0.13341792927132617</v>
      </c>
      <c r="Q45" s="265">
        <f>$Q$31*Q35</f>
        <v>8.2293925316109231</v>
      </c>
      <c r="R45" s="265">
        <f>$R$31*R35</f>
        <v>0.92089598638665549</v>
      </c>
      <c r="S45" s="279">
        <f>SUM(E45:R45)</f>
        <v>441.60199690446427</v>
      </c>
      <c r="T45" s="280">
        <f>1011-S45</f>
        <v>569.39800309553573</v>
      </c>
      <c r="U45" s="283">
        <f>T45/1011</f>
        <v>0.56320277259696905</v>
      </c>
    </row>
    <row r="46" spans="1:21" x14ac:dyDescent="0.2">
      <c r="D46" s="23">
        <v>2025</v>
      </c>
      <c r="E46" s="265">
        <f t="shared" ref="E46:E51" si="8">$E$31*E36</f>
        <v>102.51421589481195</v>
      </c>
      <c r="F46" s="265">
        <f t="shared" ref="F46:F51" si="9">$F$31*F36</f>
        <v>60.111613229163169</v>
      </c>
      <c r="G46" s="265">
        <f t="shared" ref="G46:G51" si="10">$G$31*G36</f>
        <v>0.32736430031653541</v>
      </c>
      <c r="H46" s="265">
        <f t="shared" ref="H46:H51" si="11">$H$31*H36</f>
        <v>4.9833611256946266</v>
      </c>
      <c r="I46" s="265">
        <f t="shared" ref="I46:I51" si="12">$I$31*I36</f>
        <v>156.39499290733812</v>
      </c>
      <c r="J46" s="265">
        <f t="shared" ref="J46:J51" si="13">$J$31*J36</f>
        <v>0</v>
      </c>
      <c r="K46" s="265">
        <f t="shared" ref="K46:K51" si="14">$K$31*K36</f>
        <v>0</v>
      </c>
      <c r="L46" s="265">
        <f t="shared" ref="L46:L51" si="15">$L$31*L36</f>
        <v>0</v>
      </c>
      <c r="M46" s="265">
        <f t="shared" ref="M46:M51" si="16">$M$31*M36</f>
        <v>14.67694834952602</v>
      </c>
      <c r="N46" s="265">
        <f t="shared" ref="N46:N51" si="17">$N$31*N36</f>
        <v>0</v>
      </c>
      <c r="O46" s="265">
        <f t="shared" ref="O46:O51" si="18">$O$31*O36</f>
        <v>1.4761688927149408</v>
      </c>
      <c r="P46" s="265">
        <f t="shared" ref="P46:P51" si="19">$P$31*P36</f>
        <v>0.12074880337479951</v>
      </c>
      <c r="Q46" s="265">
        <f t="shared" ref="Q46:Q51" si="20">$Q$31*Q36</f>
        <v>7.6785082845389363</v>
      </c>
      <c r="R46" s="265">
        <f t="shared" ref="R46:R51" si="21">$R$31*R36</f>
        <v>0.92089598638665549</v>
      </c>
      <c r="S46" s="279">
        <f t="shared" ref="S46:S51" si="22">SUM(E46:R46)</f>
        <v>349.20481777386578</v>
      </c>
      <c r="T46" s="280">
        <f t="shared" ref="T46:T51" si="23">1011-S46</f>
        <v>661.79518222613422</v>
      </c>
      <c r="U46" s="284">
        <f t="shared" ref="U46:U51" si="24">T46/1011</f>
        <v>0.65459464117322874</v>
      </c>
    </row>
    <row r="47" spans="1:21" x14ac:dyDescent="0.2">
      <c r="D47" s="23">
        <v>2030</v>
      </c>
      <c r="E47" s="265">
        <f t="shared" si="8"/>
        <v>99.19139833217902</v>
      </c>
      <c r="F47" s="265">
        <f t="shared" si="9"/>
        <v>47.594708000050453</v>
      </c>
      <c r="G47" s="265">
        <f t="shared" si="10"/>
        <v>0.34143731213929734</v>
      </c>
      <c r="H47" s="265">
        <f t="shared" si="11"/>
        <v>4.3121114811838979</v>
      </c>
      <c r="I47" s="265">
        <f t="shared" si="12"/>
        <v>121.26151048551745</v>
      </c>
      <c r="J47" s="265">
        <f t="shared" si="13"/>
        <v>0</v>
      </c>
      <c r="K47" s="265">
        <f t="shared" si="14"/>
        <v>0</v>
      </c>
      <c r="L47" s="265">
        <f t="shared" si="15"/>
        <v>0</v>
      </c>
      <c r="M47" s="265">
        <f t="shared" si="16"/>
        <v>12.290015679744807</v>
      </c>
      <c r="N47" s="265">
        <f t="shared" si="17"/>
        <v>0</v>
      </c>
      <c r="O47" s="265">
        <f t="shared" si="18"/>
        <v>1.621699570514558</v>
      </c>
      <c r="P47" s="265">
        <f t="shared" si="19"/>
        <v>0.11843661908042004</v>
      </c>
      <c r="Q47" s="265">
        <f t="shared" si="20"/>
        <v>7.7897019365347511</v>
      </c>
      <c r="R47" s="265">
        <f t="shared" si="21"/>
        <v>0.75898877582834234</v>
      </c>
      <c r="S47" s="279">
        <f t="shared" si="22"/>
        <v>295.28000819277298</v>
      </c>
      <c r="T47" s="280">
        <f t="shared" si="23"/>
        <v>715.71999180722696</v>
      </c>
      <c r="U47" s="284">
        <f t="shared" si="24"/>
        <v>0.70793273175789018</v>
      </c>
    </row>
    <row r="48" spans="1:21" x14ac:dyDescent="0.2">
      <c r="D48" s="23">
        <v>2035</v>
      </c>
      <c r="E48" s="265">
        <f t="shared" si="8"/>
        <v>95.778666100911934</v>
      </c>
      <c r="F48" s="265">
        <f t="shared" si="9"/>
        <v>45.825392101797704</v>
      </c>
      <c r="G48" s="265">
        <f t="shared" si="10"/>
        <v>0.27888887738812757</v>
      </c>
      <c r="H48" s="265">
        <f t="shared" si="11"/>
        <v>4.0184630117982536</v>
      </c>
      <c r="I48" s="265">
        <f t="shared" si="12"/>
        <v>111.05191332121393</v>
      </c>
      <c r="J48" s="265">
        <f t="shared" si="13"/>
        <v>0</v>
      </c>
      <c r="K48" s="265">
        <f t="shared" si="14"/>
        <v>0</v>
      </c>
      <c r="L48" s="265">
        <f t="shared" si="15"/>
        <v>0</v>
      </c>
      <c r="M48" s="265">
        <f t="shared" si="16"/>
        <v>12.534387324605339</v>
      </c>
      <c r="N48" s="265">
        <f t="shared" si="17"/>
        <v>0</v>
      </c>
      <c r="O48" s="265">
        <f t="shared" si="18"/>
        <v>1.3552746825918505</v>
      </c>
      <c r="P48" s="265">
        <f t="shared" si="19"/>
        <v>0.11562448375700086</v>
      </c>
      <c r="Q48" s="265">
        <f t="shared" si="20"/>
        <v>7.5113222264352766</v>
      </c>
      <c r="R48" s="265">
        <f t="shared" si="21"/>
        <v>0.75898877582834234</v>
      </c>
      <c r="S48" s="279">
        <f t="shared" si="22"/>
        <v>279.2289209063278</v>
      </c>
      <c r="T48" s="280">
        <f t="shared" si="23"/>
        <v>731.77107909367214</v>
      </c>
      <c r="U48" s="284">
        <f t="shared" si="24"/>
        <v>0.72380917813419599</v>
      </c>
    </row>
    <row r="49" spans="4:21" x14ac:dyDescent="0.2">
      <c r="D49" s="23">
        <v>2040</v>
      </c>
      <c r="E49" s="265">
        <f t="shared" si="8"/>
        <v>83.886184401119962</v>
      </c>
      <c r="F49" s="265">
        <f t="shared" si="9"/>
        <v>38.439088533277008</v>
      </c>
      <c r="G49" s="265">
        <f t="shared" si="10"/>
        <v>0.27076688080122419</v>
      </c>
      <c r="H49" s="265">
        <f t="shared" si="11"/>
        <v>3.7236607134527659</v>
      </c>
      <c r="I49" s="265">
        <f t="shared" si="12"/>
        <v>101.15396247847109</v>
      </c>
      <c r="J49" s="265">
        <f t="shared" si="13"/>
        <v>0</v>
      </c>
      <c r="K49" s="265">
        <f t="shared" si="14"/>
        <v>0</v>
      </c>
      <c r="L49" s="265">
        <f t="shared" si="15"/>
        <v>0</v>
      </c>
      <c r="M49" s="265">
        <f>$M$31*M39</f>
        <v>13.625117351977766</v>
      </c>
      <c r="N49" s="265">
        <f t="shared" si="17"/>
        <v>0</v>
      </c>
      <c r="O49" s="265">
        <f t="shared" si="18"/>
        <v>1.2769932201988341</v>
      </c>
      <c r="P49" s="265">
        <f t="shared" si="19"/>
        <v>0.11034163587751579</v>
      </c>
      <c r="Q49" s="265">
        <f t="shared" si="20"/>
        <v>7.1593642952911107</v>
      </c>
      <c r="R49" s="265">
        <f t="shared" si="21"/>
        <v>0.76742762688967481</v>
      </c>
      <c r="S49" s="279">
        <f t="shared" si="22"/>
        <v>250.41290713735694</v>
      </c>
      <c r="T49" s="280">
        <f t="shared" si="23"/>
        <v>760.58709286264309</v>
      </c>
      <c r="U49" s="284">
        <f t="shared" si="24"/>
        <v>0.75231166455256493</v>
      </c>
    </row>
    <row r="50" spans="4:21" x14ac:dyDescent="0.2">
      <c r="D50" s="23">
        <v>2045</v>
      </c>
      <c r="E50" s="265">
        <f t="shared" si="8"/>
        <v>69.477309174903652</v>
      </c>
      <c r="F50" s="265">
        <f t="shared" si="9"/>
        <v>40.040618869335425</v>
      </c>
      <c r="G50" s="265">
        <f t="shared" si="10"/>
        <v>0.17897664418054152</v>
      </c>
      <c r="H50" s="265">
        <f t="shared" si="11"/>
        <v>3.4805152929157379</v>
      </c>
      <c r="I50" s="265">
        <f t="shared" si="12"/>
        <v>98.158030865234679</v>
      </c>
      <c r="J50" s="265">
        <f t="shared" si="13"/>
        <v>0</v>
      </c>
      <c r="K50" s="265">
        <f t="shared" si="14"/>
        <v>0</v>
      </c>
      <c r="L50" s="265">
        <f t="shared" si="15"/>
        <v>0</v>
      </c>
      <c r="M50" s="265">
        <f>$M$31*M40</f>
        <v>12.084776843390289</v>
      </c>
      <c r="N50" s="265">
        <f t="shared" si="17"/>
        <v>0</v>
      </c>
      <c r="O50" s="265">
        <f t="shared" si="18"/>
        <v>1.3134253774322311</v>
      </c>
      <c r="P50" s="265">
        <f t="shared" si="19"/>
        <v>9.9830565436628119E-2</v>
      </c>
      <c r="Q50" s="265">
        <f t="shared" si="20"/>
        <v>7.6906631188299119</v>
      </c>
      <c r="R50" s="265">
        <f t="shared" si="21"/>
        <v>0.76742762688967481</v>
      </c>
      <c r="S50" s="279">
        <f t="shared" si="22"/>
        <v>233.2915743785488</v>
      </c>
      <c r="T50" s="280">
        <f t="shared" si="23"/>
        <v>777.70842562145117</v>
      </c>
      <c r="U50" s="284">
        <f t="shared" si="24"/>
        <v>0.76924671179174198</v>
      </c>
    </row>
    <row r="51" spans="4:21" x14ac:dyDescent="0.2">
      <c r="D51" s="23">
        <v>2050</v>
      </c>
      <c r="E51" s="265">
        <f t="shared" si="8"/>
        <v>49.531591772662622</v>
      </c>
      <c r="F51" s="265">
        <f t="shared" si="9"/>
        <v>33.336272653186214</v>
      </c>
      <c r="G51" s="265">
        <f t="shared" si="10"/>
        <v>0.1738591241456133</v>
      </c>
      <c r="H51" s="265">
        <f t="shared" si="11"/>
        <v>3.3532476481919038</v>
      </c>
      <c r="I51" s="265">
        <f t="shared" si="12"/>
        <v>67.609669819960118</v>
      </c>
      <c r="J51" s="265">
        <f t="shared" si="13"/>
        <v>0</v>
      </c>
      <c r="K51" s="265">
        <f t="shared" si="14"/>
        <v>0</v>
      </c>
      <c r="L51" s="265">
        <f t="shared" si="15"/>
        <v>0</v>
      </c>
      <c r="M51" s="265">
        <f t="shared" si="16"/>
        <v>9.4489800674098081</v>
      </c>
      <c r="N51" s="265">
        <f t="shared" si="17"/>
        <v>0</v>
      </c>
      <c r="O51" s="265">
        <f t="shared" si="18"/>
        <v>1.3262214642277437</v>
      </c>
      <c r="P51" s="265">
        <f t="shared" si="19"/>
        <v>8.6976393052050779E-2</v>
      </c>
      <c r="Q51" s="265">
        <f t="shared" si="20"/>
        <v>7.6456563306771859</v>
      </c>
      <c r="R51" s="265">
        <f t="shared" si="21"/>
        <v>0.84119544229189769</v>
      </c>
      <c r="S51" s="281">
        <f t="shared" si="22"/>
        <v>173.35367071580518</v>
      </c>
      <c r="T51" s="282">
        <f t="shared" si="23"/>
        <v>837.64632928419485</v>
      </c>
      <c r="U51" s="285">
        <f t="shared" si="24"/>
        <v>0.82853247209119174</v>
      </c>
    </row>
    <row r="52" spans="4:21" x14ac:dyDescent="0.2">
      <c r="D52" s="2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</row>
  </sheetData>
  <mergeCells count="1">
    <mergeCell ref="E5:M5"/>
  </mergeCells>
  <pageMargins left="0.7" right="0.7" top="0.75" bottom="0.75" header="0.3" footer="0.3"/>
  <pageSetup orientation="landscape" horizontalDpi="0" verticalDpi="0"/>
  <headerFooter>
    <oddHeader>&amp;L&amp;B Confidential&amp;B&amp;C&amp;D&amp;RPage 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075A4-3B1B-4F2F-8702-708CDA9FECFF}">
  <sheetPr>
    <tabColor theme="6"/>
  </sheetPr>
  <dimension ref="A1:AA73"/>
  <sheetViews>
    <sheetView topLeftCell="A2" workbookViewId="0">
      <selection activeCell="B7" sqref="B7"/>
    </sheetView>
  </sheetViews>
  <sheetFormatPr baseColWidth="10" defaultColWidth="11" defaultRowHeight="16" x14ac:dyDescent="0.2"/>
  <cols>
    <col min="1" max="1" width="17.6640625" customWidth="1"/>
    <col min="2" max="2" width="21.5" customWidth="1"/>
    <col min="3" max="3" width="14.33203125" customWidth="1"/>
    <col min="4" max="4" width="15.5" customWidth="1"/>
    <col min="5" max="6" width="15.1640625" customWidth="1"/>
    <col min="12" max="12" width="16.33203125" customWidth="1"/>
    <col min="13" max="13" width="17.1640625" customWidth="1"/>
    <col min="14" max="14" width="14" bestFit="1" customWidth="1"/>
    <col min="15" max="15" width="15" bestFit="1" customWidth="1"/>
    <col min="16" max="16" width="16.83203125" customWidth="1"/>
    <col min="17" max="17" width="16.5" customWidth="1"/>
    <col min="18" max="18" width="16.33203125" customWidth="1"/>
    <col min="19" max="19" width="21.33203125" customWidth="1"/>
    <col min="22" max="22" width="12.6640625" customWidth="1"/>
    <col min="24" max="24" width="13.1640625" customWidth="1"/>
  </cols>
  <sheetData>
    <row r="1" spans="1:8" x14ac:dyDescent="0.2">
      <c r="A1" t="s">
        <v>531</v>
      </c>
      <c r="B1" t="s">
        <v>641</v>
      </c>
    </row>
    <row r="2" spans="1:8" x14ac:dyDescent="0.2">
      <c r="H2">
        <f>1-F14</f>
        <v>0.63441818992420873</v>
      </c>
    </row>
    <row r="3" spans="1:8" x14ac:dyDescent="0.2">
      <c r="A3" t="s">
        <v>529</v>
      </c>
    </row>
    <row r="4" spans="1:8" x14ac:dyDescent="0.2">
      <c r="E4" t="s">
        <v>640</v>
      </c>
    </row>
    <row r="5" spans="1:8" ht="33" customHeight="1" x14ac:dyDescent="0.2">
      <c r="B5" s="38" t="s">
        <v>459</v>
      </c>
      <c r="C5" s="260" t="s">
        <v>639</v>
      </c>
      <c r="D5" s="260" t="s">
        <v>638</v>
      </c>
      <c r="E5" s="260" t="s">
        <v>637</v>
      </c>
      <c r="F5" s="260" t="s">
        <v>455</v>
      </c>
    </row>
    <row r="6" spans="1:8" x14ac:dyDescent="0.2">
      <c r="B6" t="s">
        <v>454</v>
      </c>
      <c r="C6" s="23">
        <v>12</v>
      </c>
      <c r="D6">
        <f t="shared" ref="D6:D16" si="0">C6*1000000000000</f>
        <v>12000000000000</v>
      </c>
      <c r="E6" s="24">
        <f t="shared" ref="E6:E16" si="1">D6/1000000</f>
        <v>12000000</v>
      </c>
      <c r="F6">
        <f t="shared" ref="F6:F16" si="2">E6/($E$18)</f>
        <v>5.3499777084262149E-3</v>
      </c>
    </row>
    <row r="7" spans="1:8" x14ac:dyDescent="0.2">
      <c r="B7" t="s">
        <v>636</v>
      </c>
      <c r="C7" s="23">
        <v>48</v>
      </c>
      <c r="D7">
        <f t="shared" si="0"/>
        <v>48000000000000</v>
      </c>
      <c r="E7" s="24">
        <f t="shared" si="1"/>
        <v>48000000</v>
      </c>
      <c r="F7">
        <f t="shared" si="2"/>
        <v>2.139991083370486E-2</v>
      </c>
    </row>
    <row r="8" spans="1:8" x14ac:dyDescent="0.2">
      <c r="B8" t="s">
        <v>635</v>
      </c>
      <c r="C8" s="23">
        <v>41</v>
      </c>
      <c r="D8">
        <f t="shared" si="0"/>
        <v>41000000000000</v>
      </c>
      <c r="E8" s="24">
        <f t="shared" si="1"/>
        <v>41000000</v>
      </c>
      <c r="F8">
        <f t="shared" si="2"/>
        <v>1.8279090503789567E-2</v>
      </c>
    </row>
    <row r="9" spans="1:8" x14ac:dyDescent="0.2">
      <c r="B9" t="s">
        <v>634</v>
      </c>
      <c r="C9" s="23">
        <v>38</v>
      </c>
      <c r="D9">
        <f t="shared" si="0"/>
        <v>38000000000000</v>
      </c>
      <c r="E9" s="24">
        <f t="shared" si="1"/>
        <v>38000000</v>
      </c>
      <c r="F9">
        <f t="shared" si="2"/>
        <v>1.6941596076683014E-2</v>
      </c>
    </row>
    <row r="10" spans="1:8" x14ac:dyDescent="0.2">
      <c r="B10" t="s">
        <v>450</v>
      </c>
      <c r="C10" s="23">
        <v>11</v>
      </c>
      <c r="D10">
        <f t="shared" si="0"/>
        <v>11000000000000</v>
      </c>
      <c r="E10" s="24">
        <f t="shared" si="1"/>
        <v>11000000</v>
      </c>
      <c r="F10">
        <f t="shared" si="2"/>
        <v>4.90414623272403E-3</v>
      </c>
    </row>
    <row r="11" spans="1:8" x14ac:dyDescent="0.2">
      <c r="B11" t="s">
        <v>633</v>
      </c>
      <c r="C11" s="23">
        <v>12</v>
      </c>
      <c r="D11">
        <f t="shared" si="0"/>
        <v>12000000000000</v>
      </c>
      <c r="E11" s="24">
        <f t="shared" si="1"/>
        <v>12000000</v>
      </c>
      <c r="F11">
        <f t="shared" si="2"/>
        <v>5.3499777084262149E-3</v>
      </c>
    </row>
    <row r="12" spans="1:8" x14ac:dyDescent="0.2">
      <c r="B12" t="s">
        <v>448</v>
      </c>
      <c r="C12" s="23">
        <v>24</v>
      </c>
      <c r="D12">
        <f t="shared" si="0"/>
        <v>24000000000000</v>
      </c>
      <c r="E12" s="24">
        <f t="shared" si="1"/>
        <v>24000000</v>
      </c>
      <c r="F12">
        <f t="shared" si="2"/>
        <v>1.069995541685243E-2</v>
      </c>
    </row>
    <row r="13" spans="1:8" x14ac:dyDescent="0.2">
      <c r="B13" t="s">
        <v>632</v>
      </c>
      <c r="C13" s="23">
        <v>27</v>
      </c>
      <c r="D13">
        <f t="shared" si="0"/>
        <v>27000000000000</v>
      </c>
      <c r="E13" s="24">
        <f t="shared" si="1"/>
        <v>27000000</v>
      </c>
      <c r="F13">
        <f t="shared" si="2"/>
        <v>1.2037449843958983E-2</v>
      </c>
    </row>
    <row r="14" spans="1:8" x14ac:dyDescent="0.2">
      <c r="A14" t="s">
        <v>631</v>
      </c>
      <c r="B14" t="s">
        <v>446</v>
      </c>
      <c r="C14" s="23">
        <v>820</v>
      </c>
      <c r="D14">
        <f t="shared" si="0"/>
        <v>820000000000000</v>
      </c>
      <c r="E14" s="24">
        <f t="shared" si="1"/>
        <v>820000000</v>
      </c>
      <c r="F14">
        <f t="shared" si="2"/>
        <v>0.36558181007579132</v>
      </c>
    </row>
    <row r="15" spans="1:8" x14ac:dyDescent="0.2">
      <c r="B15" t="s">
        <v>444</v>
      </c>
      <c r="C15" s="23">
        <v>490</v>
      </c>
      <c r="D15">
        <f t="shared" si="0"/>
        <v>490000000000000</v>
      </c>
      <c r="E15" s="24">
        <f t="shared" si="1"/>
        <v>490000000</v>
      </c>
      <c r="F15">
        <f t="shared" si="2"/>
        <v>0.21845742309407043</v>
      </c>
    </row>
    <row r="16" spans="1:8" x14ac:dyDescent="0.2">
      <c r="B16" t="s">
        <v>442</v>
      </c>
      <c r="C16" s="23">
        <v>720</v>
      </c>
      <c r="D16">
        <f t="shared" si="0"/>
        <v>720000000000000</v>
      </c>
      <c r="E16" s="24">
        <f t="shared" si="1"/>
        <v>720000000</v>
      </c>
      <c r="F16">
        <f t="shared" si="2"/>
        <v>0.32099866250557291</v>
      </c>
    </row>
    <row r="17" spans="1:27" x14ac:dyDescent="0.2">
      <c r="C17" s="165"/>
      <c r="E17" s="259"/>
    </row>
    <row r="18" spans="1:27" x14ac:dyDescent="0.2">
      <c r="C18" s="23">
        <f>SUM(C6:C17)</f>
        <v>2243</v>
      </c>
      <c r="E18" s="259">
        <f>SUM(E6:E17)</f>
        <v>2243000000</v>
      </c>
      <c r="F18">
        <f>SUM(F6:F17)</f>
        <v>1</v>
      </c>
    </row>
    <row r="19" spans="1:27" x14ac:dyDescent="0.2">
      <c r="C19" s="165">
        <f>C18/11</f>
        <v>203.90909090909091</v>
      </c>
    </row>
    <row r="20" spans="1:27" x14ac:dyDescent="0.2">
      <c r="C20" s="165"/>
    </row>
    <row r="27" spans="1:27" x14ac:dyDescent="0.2">
      <c r="A27" t="s">
        <v>628</v>
      </c>
      <c r="B27" t="s">
        <v>630</v>
      </c>
    </row>
    <row r="28" spans="1:27" x14ac:dyDescent="0.2">
      <c r="B28" t="s">
        <v>629</v>
      </c>
    </row>
    <row r="29" spans="1:27" x14ac:dyDescent="0.2">
      <c r="A29" t="s">
        <v>628</v>
      </c>
      <c r="B29" t="s">
        <v>627</v>
      </c>
    </row>
    <row r="31" spans="1:27" x14ac:dyDescent="0.2">
      <c r="C31" t="s">
        <v>626</v>
      </c>
      <c r="L31" t="s">
        <v>625</v>
      </c>
      <c r="U31" t="s">
        <v>524</v>
      </c>
    </row>
    <row r="32" spans="1:27" x14ac:dyDescent="0.2">
      <c r="A32" t="s">
        <v>624</v>
      </c>
      <c r="C32" s="1" t="s">
        <v>446</v>
      </c>
      <c r="D32" s="1" t="s">
        <v>444</v>
      </c>
      <c r="E32" s="1" t="s">
        <v>454</v>
      </c>
      <c r="F32" s="1" t="s">
        <v>521</v>
      </c>
      <c r="G32" s="1" t="s">
        <v>452</v>
      </c>
      <c r="H32" s="1" t="s">
        <v>450</v>
      </c>
      <c r="I32" s="1" t="s">
        <v>520</v>
      </c>
      <c r="L32" s="1" t="s">
        <v>446</v>
      </c>
      <c r="M32" s="1" t="s">
        <v>444</v>
      </c>
      <c r="N32" s="1" t="s">
        <v>454</v>
      </c>
      <c r="O32" s="1" t="s">
        <v>521</v>
      </c>
      <c r="P32" s="1" t="s">
        <v>452</v>
      </c>
      <c r="Q32" s="1" t="s">
        <v>450</v>
      </c>
      <c r="R32" s="1" t="s">
        <v>520</v>
      </c>
      <c r="U32" s="1" t="s">
        <v>446</v>
      </c>
      <c r="V32" s="1" t="s">
        <v>444</v>
      </c>
      <c r="W32" s="1" t="s">
        <v>454</v>
      </c>
      <c r="X32" s="1" t="s">
        <v>521</v>
      </c>
      <c r="Y32" s="1" t="s">
        <v>452</v>
      </c>
      <c r="Z32" s="1" t="s">
        <v>450</v>
      </c>
      <c r="AA32" s="1" t="s">
        <v>520</v>
      </c>
    </row>
    <row r="33" spans="2:27" x14ac:dyDescent="0.2">
      <c r="B33" t="s">
        <v>516</v>
      </c>
      <c r="C33">
        <v>8.1098893699465346</v>
      </c>
      <c r="D33">
        <v>4.5982230073293264</v>
      </c>
      <c r="E33">
        <v>2.6297097229999991</v>
      </c>
      <c r="F33">
        <v>3.4058483389999998</v>
      </c>
      <c r="G33">
        <v>3.3506436000000001E-2</v>
      </c>
      <c r="H33">
        <v>0.33964128700000001</v>
      </c>
      <c r="I33">
        <v>1.36637730072414</v>
      </c>
      <c r="L33" s="3">
        <f t="shared" ref="L33:L73" si="3">$E$14*C33</f>
        <v>6650109283.3561583</v>
      </c>
      <c r="M33" s="3">
        <f t="shared" ref="M33:M73" si="4">$E$16*D33</f>
        <v>3310720565.2771149</v>
      </c>
      <c r="N33" s="3">
        <f t="shared" ref="N33:N73" si="5">$E$6*E33</f>
        <v>31556516.675999988</v>
      </c>
      <c r="O33" s="3">
        <f t="shared" ref="O33:O73" si="6">$E$12*F33</f>
        <v>81740360.135999992</v>
      </c>
      <c r="P33" s="3">
        <f t="shared" ref="P33:P73" si="7">($E$7+$E$8+$E$13)*G33</f>
        <v>3886746.5759999999</v>
      </c>
      <c r="Q33" s="3">
        <f t="shared" ref="Q33:Q73" si="8">($E$10+$E$11)*H33</f>
        <v>7811749.6010000007</v>
      </c>
      <c r="R33" s="3">
        <f t="shared" ref="R33:R73" si="9">$E$16*I33</f>
        <v>983791656.52138078</v>
      </c>
      <c r="S33" s="3">
        <f t="shared" ref="S33:S73" si="10">SUM(L33:R33)</f>
        <v>11069616878.143656</v>
      </c>
      <c r="U33" s="118">
        <f t="shared" ref="U33:U73" si="11">L33/$S$33</f>
        <v>0.60075333740650316</v>
      </c>
      <c r="V33" s="118">
        <f t="shared" ref="V33:V73" si="12">M33/$S$33</f>
        <v>0.29908176603780651</v>
      </c>
      <c r="W33" s="118">
        <f t="shared" ref="W33:W73" si="13">N33/$S$33</f>
        <v>2.8507325071300865E-3</v>
      </c>
      <c r="X33" s="118">
        <f t="shared" ref="X33:X73" si="14">O33/$S$33</f>
        <v>7.3842085987087594E-3</v>
      </c>
      <c r="Y33" s="118">
        <f t="shared" ref="Y33:Y73" si="15">P33/$S$33</f>
        <v>3.5111843696001486E-4</v>
      </c>
      <c r="Z33" s="118">
        <f t="shared" ref="Z33:Z73" si="16">Q33/$S$33</f>
        <v>7.05692860646683E-4</v>
      </c>
      <c r="AA33" s="118">
        <f t="shared" ref="AA33:AA73" si="17">R33/$S$33</f>
        <v>8.8873144152244579E-2</v>
      </c>
    </row>
    <row r="34" spans="2:27" x14ac:dyDescent="0.2">
      <c r="B34" t="s">
        <v>515</v>
      </c>
      <c r="C34">
        <v>8.5694300595621709</v>
      </c>
      <c r="D34">
        <v>4.6676102699917807</v>
      </c>
      <c r="E34">
        <v>2.517744956</v>
      </c>
      <c r="F34">
        <v>3.4663137730000009</v>
      </c>
      <c r="G34">
        <v>6.6189061999999993E-2</v>
      </c>
      <c r="H34">
        <v>0.43449828499999998</v>
      </c>
      <c r="I34">
        <v>1.480175370446049</v>
      </c>
      <c r="L34" s="3">
        <f t="shared" si="3"/>
        <v>7026932648.8409805</v>
      </c>
      <c r="M34" s="3">
        <f t="shared" si="4"/>
        <v>3360679394.3940821</v>
      </c>
      <c r="N34" s="3">
        <f t="shared" si="5"/>
        <v>30212939.471999999</v>
      </c>
      <c r="O34" s="3">
        <f t="shared" si="6"/>
        <v>83191530.552000016</v>
      </c>
      <c r="P34" s="3">
        <f t="shared" si="7"/>
        <v>7677931.1919999989</v>
      </c>
      <c r="Q34" s="3">
        <f t="shared" si="8"/>
        <v>9993460.5549999997</v>
      </c>
      <c r="R34" s="3">
        <f t="shared" si="9"/>
        <v>1065726266.7211553</v>
      </c>
      <c r="S34" s="3">
        <f t="shared" si="10"/>
        <v>11584414171.727217</v>
      </c>
      <c r="U34" s="257">
        <f t="shared" si="11"/>
        <v>0.63479456662274092</v>
      </c>
      <c r="V34" s="118">
        <f t="shared" si="12"/>
        <v>0.30359491492696167</v>
      </c>
      <c r="W34" s="118">
        <f t="shared" si="13"/>
        <v>2.7293572853143429E-3</v>
      </c>
      <c r="X34" s="118">
        <f t="shared" si="14"/>
        <v>7.5153035075908609E-3</v>
      </c>
      <c r="Y34" s="118">
        <f t="shared" si="15"/>
        <v>6.9360405843490829E-4</v>
      </c>
      <c r="Z34" s="118">
        <f t="shared" si="16"/>
        <v>9.0278287541563731E-4</v>
      </c>
      <c r="AA34" s="118">
        <f t="shared" si="17"/>
        <v>9.6274900789509038E-2</v>
      </c>
    </row>
    <row r="35" spans="2:27" x14ac:dyDescent="0.2">
      <c r="B35" t="s">
        <v>514</v>
      </c>
      <c r="C35">
        <v>8.6043259389704136</v>
      </c>
      <c r="D35">
        <v>4.8703989162453212</v>
      </c>
      <c r="E35">
        <v>2.3448067490000009</v>
      </c>
      <c r="F35">
        <v>3.6268111119999999</v>
      </c>
      <c r="G35">
        <v>0.103719431</v>
      </c>
      <c r="H35">
        <v>0.52134978600000004</v>
      </c>
      <c r="I35">
        <v>1.5865596617842681</v>
      </c>
      <c r="L35" s="3">
        <f t="shared" si="3"/>
        <v>7055547269.955739</v>
      </c>
      <c r="M35" s="3">
        <f t="shared" si="4"/>
        <v>3506687219.6966314</v>
      </c>
      <c r="N35" s="3">
        <f t="shared" si="5"/>
        <v>28137680.988000009</v>
      </c>
      <c r="O35" s="3">
        <f t="shared" si="6"/>
        <v>87043466.687999994</v>
      </c>
      <c r="P35" s="3">
        <f t="shared" si="7"/>
        <v>12031453.995999999</v>
      </c>
      <c r="Q35" s="3">
        <f t="shared" si="8"/>
        <v>11991045.078000002</v>
      </c>
      <c r="R35" s="3">
        <f t="shared" si="9"/>
        <v>1142322956.484673</v>
      </c>
      <c r="S35" s="3">
        <f t="shared" si="10"/>
        <v>11843761092.887043</v>
      </c>
      <c r="U35" s="257">
        <f t="shared" si="11"/>
        <v>0.63737953604216646</v>
      </c>
      <c r="V35" s="118">
        <f t="shared" si="12"/>
        <v>0.31678487686600887</v>
      </c>
      <c r="W35" s="118">
        <f t="shared" si="13"/>
        <v>2.5418839059874149E-3</v>
      </c>
      <c r="X35" s="118">
        <f t="shared" si="14"/>
        <v>7.8632772611907185E-3</v>
      </c>
      <c r="Y35" s="118">
        <f t="shared" si="15"/>
        <v>1.0868898290197773E-3</v>
      </c>
      <c r="Z35" s="118">
        <f t="shared" si="16"/>
        <v>1.0832393939193736E-3</v>
      </c>
      <c r="AA35" s="118">
        <f t="shared" si="17"/>
        <v>0.10319444376978631</v>
      </c>
    </row>
    <row r="36" spans="2:27" x14ac:dyDescent="0.2">
      <c r="B36" t="s">
        <v>513</v>
      </c>
      <c r="C36">
        <v>9.0583756041167547</v>
      </c>
      <c r="D36">
        <v>4.8038164733242414</v>
      </c>
      <c r="E36">
        <v>2.3641651490000002</v>
      </c>
      <c r="F36">
        <v>3.7573214730000002</v>
      </c>
      <c r="G36">
        <v>0.14668123699999999</v>
      </c>
      <c r="H36">
        <v>0.64418416700000003</v>
      </c>
      <c r="I36">
        <v>1.5796431625590059</v>
      </c>
      <c r="L36" s="3">
        <f t="shared" si="3"/>
        <v>7427867995.3757391</v>
      </c>
      <c r="M36" s="3">
        <f t="shared" si="4"/>
        <v>3458747860.7934537</v>
      </c>
      <c r="N36" s="3">
        <f t="shared" si="5"/>
        <v>28369981.788000003</v>
      </c>
      <c r="O36" s="3">
        <f t="shared" si="6"/>
        <v>90175715.351999998</v>
      </c>
      <c r="P36" s="3">
        <f t="shared" si="7"/>
        <v>17015023.491999999</v>
      </c>
      <c r="Q36" s="3">
        <f t="shared" si="8"/>
        <v>14816235.841</v>
      </c>
      <c r="R36" s="3">
        <f t="shared" si="9"/>
        <v>1137343077.0424843</v>
      </c>
      <c r="S36" s="3">
        <f t="shared" si="10"/>
        <v>12174335889.684677</v>
      </c>
      <c r="U36" s="257">
        <f t="shared" si="11"/>
        <v>0.67101400862767457</v>
      </c>
      <c r="V36" s="118">
        <f t="shared" si="12"/>
        <v>0.31245416159095435</v>
      </c>
      <c r="W36" s="118">
        <f t="shared" si="13"/>
        <v>2.5628693477201506E-3</v>
      </c>
      <c r="X36" s="118">
        <f t="shared" si="14"/>
        <v>8.1462363462684005E-3</v>
      </c>
      <c r="Y36" s="118">
        <f t="shared" si="15"/>
        <v>1.537092356429717E-3</v>
      </c>
      <c r="Z36" s="118">
        <f t="shared" si="16"/>
        <v>1.3384596778822431E-3</v>
      </c>
      <c r="AA36" s="118">
        <f t="shared" si="17"/>
        <v>0.10274457459210762</v>
      </c>
    </row>
    <row r="37" spans="2:27" x14ac:dyDescent="0.2">
      <c r="B37" t="s">
        <v>512</v>
      </c>
      <c r="C37">
        <v>9.1257408671598856</v>
      </c>
      <c r="D37">
        <v>4.894845322282956</v>
      </c>
      <c r="E37">
        <v>2.4089249549999998</v>
      </c>
      <c r="F37">
        <v>3.8282546399999999</v>
      </c>
      <c r="G37">
        <v>0.2015895757</v>
      </c>
      <c r="H37">
        <v>0.71458740099999962</v>
      </c>
      <c r="I37">
        <v>1.585763084557156</v>
      </c>
      <c r="L37" s="3">
        <f t="shared" si="3"/>
        <v>7483107511.071106</v>
      </c>
      <c r="M37" s="3">
        <f t="shared" si="4"/>
        <v>3524288632.0437284</v>
      </c>
      <c r="N37" s="3">
        <f t="shared" si="5"/>
        <v>28907099.459999997</v>
      </c>
      <c r="O37" s="3">
        <f t="shared" si="6"/>
        <v>91878111.359999999</v>
      </c>
      <c r="P37" s="3">
        <f t="shared" si="7"/>
        <v>23384390.781199999</v>
      </c>
      <c r="Q37" s="3">
        <f t="shared" si="8"/>
        <v>16435510.222999992</v>
      </c>
      <c r="R37" s="3">
        <f t="shared" si="9"/>
        <v>1141749420.8811524</v>
      </c>
      <c r="S37" s="3">
        <f t="shared" si="10"/>
        <v>12309750675.820187</v>
      </c>
      <c r="U37" s="257">
        <f t="shared" si="11"/>
        <v>0.67600420081801449</v>
      </c>
      <c r="V37" s="118">
        <f t="shared" si="12"/>
        <v>0.3183749420453964</v>
      </c>
      <c r="W37" s="118">
        <f t="shared" si="13"/>
        <v>2.6113911419170669E-3</v>
      </c>
      <c r="X37" s="118">
        <f t="shared" si="14"/>
        <v>8.3000263126909325E-3</v>
      </c>
      <c r="Y37" s="118">
        <f t="shared" si="15"/>
        <v>2.1124842023549327E-3</v>
      </c>
      <c r="Z37" s="118">
        <f t="shared" si="16"/>
        <v>1.4847406557900837E-3</v>
      </c>
      <c r="AA37" s="118">
        <f t="shared" si="17"/>
        <v>0.10314263207568396</v>
      </c>
    </row>
    <row r="38" spans="2:27" x14ac:dyDescent="0.2">
      <c r="B38" t="s">
        <v>511</v>
      </c>
      <c r="C38">
        <v>8.9773582154991853</v>
      </c>
      <c r="D38">
        <v>5.2597930091818403</v>
      </c>
      <c r="E38">
        <v>2.4404978559999999</v>
      </c>
      <c r="F38">
        <v>3.8426530740000011</v>
      </c>
      <c r="G38">
        <v>0.26465968000000001</v>
      </c>
      <c r="H38">
        <v>0.82817727100000016</v>
      </c>
      <c r="I38">
        <v>1.580868314318971</v>
      </c>
      <c r="L38" s="3">
        <f t="shared" si="3"/>
        <v>7361433736.7093315</v>
      </c>
      <c r="M38" s="3">
        <f t="shared" si="4"/>
        <v>3787050966.6109252</v>
      </c>
      <c r="N38" s="3">
        <f t="shared" si="5"/>
        <v>29285974.272</v>
      </c>
      <c r="O38" s="3">
        <f t="shared" si="6"/>
        <v>92223673.776000023</v>
      </c>
      <c r="P38" s="3">
        <f t="shared" si="7"/>
        <v>30700522.880000003</v>
      </c>
      <c r="Q38" s="3">
        <f t="shared" si="8"/>
        <v>19048077.233000003</v>
      </c>
      <c r="R38" s="3">
        <f t="shared" si="9"/>
        <v>1138225186.3096592</v>
      </c>
      <c r="S38" s="3">
        <f t="shared" si="10"/>
        <v>12457968137.790915</v>
      </c>
      <c r="U38" s="257">
        <f t="shared" si="11"/>
        <v>0.66501251287603946</v>
      </c>
      <c r="V38" s="118">
        <f t="shared" si="12"/>
        <v>0.34211219848884267</v>
      </c>
      <c r="W38" s="118">
        <f t="shared" si="13"/>
        <v>2.6456176934021567E-3</v>
      </c>
      <c r="X38" s="118">
        <f t="shared" si="14"/>
        <v>8.3312435101607317E-3</v>
      </c>
      <c r="Y38" s="118">
        <f t="shared" si="15"/>
        <v>2.7734042847152624E-3</v>
      </c>
      <c r="Z38" s="118">
        <f t="shared" si="16"/>
        <v>1.7207530705610394E-3</v>
      </c>
      <c r="AA38" s="118">
        <f t="shared" si="17"/>
        <v>0.10282426201732615</v>
      </c>
    </row>
    <row r="39" spans="2:27" x14ac:dyDescent="0.2">
      <c r="B39" t="s">
        <v>510</v>
      </c>
      <c r="C39">
        <v>9.0132749144960691</v>
      </c>
      <c r="D39">
        <v>5.5194607266144233</v>
      </c>
      <c r="E39">
        <v>2.4687655200000012</v>
      </c>
      <c r="F39">
        <v>3.9898015149999999</v>
      </c>
      <c r="G39">
        <v>0.34770433299999998</v>
      </c>
      <c r="H39">
        <v>0.95670240200000001</v>
      </c>
      <c r="I39">
        <v>1.5647353268895079</v>
      </c>
      <c r="L39" s="3">
        <f t="shared" si="3"/>
        <v>7390885429.8867769</v>
      </c>
      <c r="M39" s="3">
        <f t="shared" si="4"/>
        <v>3974011723.162385</v>
      </c>
      <c r="N39" s="3">
        <f t="shared" si="5"/>
        <v>29625186.240000013</v>
      </c>
      <c r="O39" s="3">
        <f t="shared" si="6"/>
        <v>95755236.359999999</v>
      </c>
      <c r="P39" s="3">
        <f t="shared" si="7"/>
        <v>40333702.627999999</v>
      </c>
      <c r="Q39" s="3">
        <f t="shared" si="8"/>
        <v>22004155.245999999</v>
      </c>
      <c r="R39" s="3">
        <f t="shared" si="9"/>
        <v>1126609435.3604457</v>
      </c>
      <c r="S39" s="3">
        <f t="shared" si="10"/>
        <v>12679224868.883608</v>
      </c>
      <c r="U39" s="257">
        <f t="shared" si="11"/>
        <v>0.66767310117838585</v>
      </c>
      <c r="V39" s="118">
        <f t="shared" si="12"/>
        <v>0.35900174025072634</v>
      </c>
      <c r="W39" s="118">
        <f t="shared" si="13"/>
        <v>2.6762612081447281E-3</v>
      </c>
      <c r="X39" s="118">
        <f t="shared" si="14"/>
        <v>8.6502755618456315E-3</v>
      </c>
      <c r="Y39" s="118">
        <f t="shared" si="15"/>
        <v>3.6436403420281559E-3</v>
      </c>
      <c r="Z39" s="118">
        <f t="shared" si="16"/>
        <v>1.9877973635606108E-3</v>
      </c>
      <c r="AA39" s="118">
        <f t="shared" si="17"/>
        <v>0.10177492570541204</v>
      </c>
    </row>
    <row r="40" spans="2:27" x14ac:dyDescent="0.2">
      <c r="B40" t="s">
        <v>509</v>
      </c>
      <c r="C40">
        <v>9.1985908856644425</v>
      </c>
      <c r="D40">
        <v>5.6548001585631011</v>
      </c>
      <c r="E40">
        <v>2.4695399414686818</v>
      </c>
      <c r="F40">
        <v>4.1675541693999998</v>
      </c>
      <c r="G40">
        <v>0.48089370867999998</v>
      </c>
      <c r="H40">
        <v>1.1600894230000001</v>
      </c>
      <c r="I40">
        <v>1.471662593067127</v>
      </c>
      <c r="L40" s="3">
        <f t="shared" si="3"/>
        <v>7542844526.2448425</v>
      </c>
      <c r="M40" s="3">
        <f t="shared" si="4"/>
        <v>4071456114.1654329</v>
      </c>
      <c r="N40" s="3">
        <f t="shared" si="5"/>
        <v>29634479.297624182</v>
      </c>
      <c r="O40" s="3">
        <f t="shared" si="6"/>
        <v>100021300.06559999</v>
      </c>
      <c r="P40" s="3">
        <f t="shared" si="7"/>
        <v>55783670.206879996</v>
      </c>
      <c r="Q40" s="3">
        <f t="shared" si="8"/>
        <v>26682056.729000002</v>
      </c>
      <c r="R40" s="3">
        <f t="shared" si="9"/>
        <v>1059597067.0083314</v>
      </c>
      <c r="S40" s="3">
        <f t="shared" si="10"/>
        <v>12886019213.71771</v>
      </c>
      <c r="U40" s="257">
        <f t="shared" si="11"/>
        <v>0.68140068525205877</v>
      </c>
      <c r="V40" s="118">
        <f t="shared" si="12"/>
        <v>0.36780460958900008</v>
      </c>
      <c r="W40" s="118">
        <f t="shared" si="13"/>
        <v>2.6771007184662205E-3</v>
      </c>
      <c r="X40" s="118">
        <f t="shared" si="14"/>
        <v>9.0356605080964009E-3</v>
      </c>
      <c r="Y40" s="118">
        <f t="shared" si="15"/>
        <v>5.0393496740634052E-3</v>
      </c>
      <c r="Z40" s="118">
        <f t="shared" si="16"/>
        <v>2.4103866486727505E-3</v>
      </c>
      <c r="AA40" s="118">
        <f t="shared" si="17"/>
        <v>9.5721205049150979E-2</v>
      </c>
    </row>
    <row r="41" spans="2:27" x14ac:dyDescent="0.2">
      <c r="B41" t="s">
        <v>508</v>
      </c>
      <c r="C41">
        <v>9.4687677347951595</v>
      </c>
      <c r="D41">
        <v>5.901392110726313</v>
      </c>
      <c r="E41">
        <v>2.528624303054567</v>
      </c>
      <c r="F41">
        <v>4.3098198952800004</v>
      </c>
      <c r="G41">
        <v>0.59833780079999999</v>
      </c>
      <c r="H41">
        <v>1.3056496778</v>
      </c>
      <c r="I41">
        <v>1.4516692855390401</v>
      </c>
      <c r="L41" s="3">
        <f t="shared" si="3"/>
        <v>7764389542.5320311</v>
      </c>
      <c r="M41" s="3">
        <f t="shared" si="4"/>
        <v>4249002319.7229452</v>
      </c>
      <c r="N41" s="3">
        <f t="shared" si="5"/>
        <v>30343491.636654805</v>
      </c>
      <c r="O41" s="3">
        <f t="shared" si="6"/>
        <v>103435677.48672001</v>
      </c>
      <c r="P41" s="3">
        <f t="shared" si="7"/>
        <v>69407184.892800003</v>
      </c>
      <c r="Q41" s="3">
        <f t="shared" si="8"/>
        <v>30029942.589400001</v>
      </c>
      <c r="R41" s="3">
        <f t="shared" si="9"/>
        <v>1045201885.5881089</v>
      </c>
      <c r="S41" s="3">
        <f t="shared" si="10"/>
        <v>13291810044.448656</v>
      </c>
      <c r="U41" s="257">
        <f t="shared" si="11"/>
        <v>0.70141447784542454</v>
      </c>
      <c r="V41" s="118">
        <f t="shared" si="12"/>
        <v>0.38384366563872363</v>
      </c>
      <c r="W41" s="118">
        <f t="shared" si="13"/>
        <v>2.7411510236245253E-3</v>
      </c>
      <c r="X41" s="118">
        <f t="shared" si="14"/>
        <v>9.344106361164858E-3</v>
      </c>
      <c r="Y41" s="118">
        <f t="shared" si="15"/>
        <v>6.2700620678065779E-3</v>
      </c>
      <c r="Z41" s="118">
        <f t="shared" si="16"/>
        <v>2.7128258294731463E-3</v>
      </c>
      <c r="AA41" s="118">
        <f t="shared" si="17"/>
        <v>9.442078231739004E-2</v>
      </c>
    </row>
    <row r="42" spans="2:27" x14ac:dyDescent="0.2">
      <c r="B42" t="s">
        <v>507</v>
      </c>
      <c r="C42">
        <v>9.1410747172805635</v>
      </c>
      <c r="D42">
        <v>6.1721407339089831</v>
      </c>
      <c r="E42">
        <v>2.661707550628281</v>
      </c>
      <c r="F42">
        <v>4.0881756204225894</v>
      </c>
      <c r="G42">
        <v>0.81538692485870412</v>
      </c>
      <c r="H42">
        <v>1.7034546409997231</v>
      </c>
      <c r="I42">
        <v>1.0993429365432661</v>
      </c>
      <c r="L42" s="3">
        <f t="shared" si="3"/>
        <v>7495681268.1700621</v>
      </c>
      <c r="M42" s="3">
        <f t="shared" si="4"/>
        <v>4443941328.4144678</v>
      </c>
      <c r="N42" s="3">
        <f t="shared" si="5"/>
        <v>31940490.607539371</v>
      </c>
      <c r="O42" s="3">
        <f t="shared" si="6"/>
        <v>98116214.890142143</v>
      </c>
      <c r="P42" s="3">
        <f t="shared" si="7"/>
        <v>94584883.283609673</v>
      </c>
      <c r="Q42" s="3">
        <f t="shared" si="8"/>
        <v>39179456.74299363</v>
      </c>
      <c r="R42" s="3">
        <f t="shared" si="9"/>
        <v>791526914.31115162</v>
      </c>
      <c r="S42" s="3">
        <f t="shared" si="10"/>
        <v>12994970556.419968</v>
      </c>
      <c r="U42" s="257">
        <f t="shared" si="11"/>
        <v>0.67714008087939059</v>
      </c>
      <c r="V42" s="118">
        <f t="shared" si="12"/>
        <v>0.40145394166159293</v>
      </c>
      <c r="W42" s="118">
        <f t="shared" si="13"/>
        <v>2.885419699628819E-3</v>
      </c>
      <c r="X42" s="118">
        <f t="shared" si="14"/>
        <v>8.8635601367439525E-3</v>
      </c>
      <c r="Y42" s="118">
        <f t="shared" si="15"/>
        <v>8.5445489509544167E-3</v>
      </c>
      <c r="Z42" s="118">
        <f t="shared" si="16"/>
        <v>3.5393688123345345E-3</v>
      </c>
      <c r="AA42" s="118">
        <f t="shared" si="17"/>
        <v>7.1504454311691459E-2</v>
      </c>
    </row>
    <row r="43" spans="2:27" x14ac:dyDescent="0.2">
      <c r="B43" t="s">
        <v>506</v>
      </c>
      <c r="C43">
        <v>8.2243414838899902</v>
      </c>
      <c r="D43">
        <v>6.4577196626769666</v>
      </c>
      <c r="E43">
        <v>2.6299646088717941</v>
      </c>
      <c r="F43">
        <v>4.0342812482482273</v>
      </c>
      <c r="G43">
        <v>0.83189830476425897</v>
      </c>
      <c r="H43">
        <v>1.741365949404607</v>
      </c>
      <c r="I43">
        <v>1.073604266017459</v>
      </c>
      <c r="L43" s="3">
        <f t="shared" si="3"/>
        <v>6743960016.7897921</v>
      </c>
      <c r="M43" s="3">
        <f t="shared" si="4"/>
        <v>4649558157.1274157</v>
      </c>
      <c r="N43" s="3">
        <f t="shared" si="5"/>
        <v>31559575.306461528</v>
      </c>
      <c r="O43" s="3">
        <f t="shared" si="6"/>
        <v>96822749.957957461</v>
      </c>
      <c r="P43" s="3">
        <f t="shared" si="7"/>
        <v>96500203.35265404</v>
      </c>
      <c r="Q43" s="3">
        <f t="shared" si="8"/>
        <v>40051416.836305961</v>
      </c>
      <c r="R43" s="3">
        <f t="shared" si="9"/>
        <v>772995071.53257048</v>
      </c>
      <c r="S43" s="3">
        <f t="shared" si="10"/>
        <v>12431447190.903156</v>
      </c>
      <c r="U43" s="257">
        <f t="shared" si="11"/>
        <v>0.60923156519584398</v>
      </c>
      <c r="V43" s="118">
        <f t="shared" si="12"/>
        <v>0.4200288237895306</v>
      </c>
      <c r="W43" s="118">
        <f t="shared" si="13"/>
        <v>2.8510088157408732E-3</v>
      </c>
      <c r="X43" s="118">
        <f t="shared" si="14"/>
        <v>8.7467119254261289E-3</v>
      </c>
      <c r="Y43" s="118">
        <f t="shared" si="15"/>
        <v>8.7175739156057277E-3</v>
      </c>
      <c r="Z43" s="118">
        <f t="shared" si="16"/>
        <v>3.6181393879480381E-3</v>
      </c>
      <c r="AA43" s="118">
        <f t="shared" si="17"/>
        <v>6.983033650051669E-2</v>
      </c>
    </row>
    <row r="44" spans="2:27" x14ac:dyDescent="0.2">
      <c r="B44" t="s">
        <v>505</v>
      </c>
      <c r="C44">
        <v>8.6768020357129192</v>
      </c>
      <c r="D44">
        <v>6.4008249296429289</v>
      </c>
      <c r="E44">
        <v>2.694380974875219</v>
      </c>
      <c r="F44">
        <v>4.1743358637097359</v>
      </c>
      <c r="G44">
        <v>1.3805463894913681</v>
      </c>
      <c r="H44">
        <v>1.966017834511816</v>
      </c>
      <c r="I44">
        <v>1.0800425140206249</v>
      </c>
      <c r="L44" s="3">
        <f t="shared" si="3"/>
        <v>7114977669.2845936</v>
      </c>
      <c r="M44" s="3">
        <f t="shared" si="4"/>
        <v>4608593949.3429089</v>
      </c>
      <c r="N44" s="3">
        <f t="shared" si="5"/>
        <v>32332571.698502626</v>
      </c>
      <c r="O44" s="3">
        <f t="shared" si="6"/>
        <v>100184060.72903366</v>
      </c>
      <c r="P44" s="3">
        <f t="shared" si="7"/>
        <v>160143381.18099871</v>
      </c>
      <c r="Q44" s="3">
        <f t="shared" si="8"/>
        <v>45218410.193771765</v>
      </c>
      <c r="R44" s="3">
        <f t="shared" si="9"/>
        <v>777630610.09484994</v>
      </c>
      <c r="S44" s="3">
        <f t="shared" si="10"/>
        <v>12839080652.52466</v>
      </c>
      <c r="U44" s="257">
        <f t="shared" si="11"/>
        <v>0.64274832160928008</v>
      </c>
      <c r="V44" s="118">
        <f t="shared" si="12"/>
        <v>0.41632822527420277</v>
      </c>
      <c r="W44" s="118">
        <f t="shared" si="13"/>
        <v>2.9208392715326485E-3</v>
      </c>
      <c r="X44" s="118">
        <f t="shared" si="14"/>
        <v>9.0503638772577149E-3</v>
      </c>
      <c r="Y44" s="118">
        <f t="shared" si="15"/>
        <v>1.4466930783954496E-2</v>
      </c>
      <c r="Z44" s="118">
        <f t="shared" si="16"/>
        <v>4.0849119433440384E-3</v>
      </c>
      <c r="AA44" s="118">
        <f t="shared" si="17"/>
        <v>7.0249098831075038E-2</v>
      </c>
    </row>
    <row r="45" spans="2:27" x14ac:dyDescent="0.2">
      <c r="B45" s="132" t="s">
        <v>504</v>
      </c>
      <c r="C45" s="132">
        <v>8.5246034921391356</v>
      </c>
      <c r="D45" s="132">
        <v>6.4846072505705807</v>
      </c>
      <c r="E45" s="132">
        <v>2.709901445228152</v>
      </c>
      <c r="F45" s="132">
        <v>4.2888369136244977</v>
      </c>
      <c r="G45" s="132">
        <v>1.6079298766166239</v>
      </c>
      <c r="H45" s="132">
        <v>2.1335994233998332</v>
      </c>
      <c r="I45" s="132">
        <v>1.098111044177962</v>
      </c>
      <c r="J45" s="132"/>
      <c r="K45" s="132"/>
      <c r="L45" s="130">
        <f t="shared" si="3"/>
        <v>6990174863.5540915</v>
      </c>
      <c r="M45" s="130">
        <f t="shared" si="4"/>
        <v>4668917220.4108181</v>
      </c>
      <c r="N45" s="130">
        <f t="shared" si="5"/>
        <v>32518817.342737824</v>
      </c>
      <c r="O45" s="130">
        <f t="shared" si="6"/>
        <v>102932085.92698795</v>
      </c>
      <c r="P45" s="130">
        <f t="shared" si="7"/>
        <v>186519865.68752837</v>
      </c>
      <c r="Q45" s="130">
        <f t="shared" si="8"/>
        <v>49072786.738196164</v>
      </c>
      <c r="R45" s="130">
        <f t="shared" si="9"/>
        <v>790639951.80813265</v>
      </c>
      <c r="S45" s="130">
        <f t="shared" si="10"/>
        <v>12820775591.468491</v>
      </c>
      <c r="T45" s="132"/>
      <c r="U45" s="258">
        <f t="shared" si="11"/>
        <v>0.63147396522419885</v>
      </c>
      <c r="V45" s="129">
        <f t="shared" si="12"/>
        <v>0.42177767051986559</v>
      </c>
      <c r="W45" s="129">
        <f t="shared" si="13"/>
        <v>2.9376642119335154E-3</v>
      </c>
      <c r="X45" s="129">
        <f t="shared" si="14"/>
        <v>9.2986132275473445E-3</v>
      </c>
      <c r="Y45" s="129">
        <f t="shared" si="15"/>
        <v>1.6849712843793312E-2</v>
      </c>
      <c r="Z45" s="129">
        <f t="shared" si="16"/>
        <v>4.4331061570059985E-3</v>
      </c>
      <c r="AA45" s="129">
        <f t="shared" si="17"/>
        <v>7.1424328457943956E-2</v>
      </c>
    </row>
    <row r="46" spans="2:27" x14ac:dyDescent="0.2">
      <c r="B46" t="s">
        <v>503</v>
      </c>
      <c r="C46">
        <v>8.2003071695653471</v>
      </c>
      <c r="D46">
        <v>6.6261394494982362</v>
      </c>
      <c r="E46">
        <v>2.7624340005810861</v>
      </c>
      <c r="F46">
        <v>4.4040465805392586</v>
      </c>
      <c r="G46">
        <v>1.8169172147418811</v>
      </c>
      <c r="H46">
        <v>2.3622194342878489</v>
      </c>
      <c r="I46">
        <v>1.1143365033353001</v>
      </c>
      <c r="L46" s="3">
        <f t="shared" si="3"/>
        <v>6724251879.0435848</v>
      </c>
      <c r="M46" s="3">
        <f t="shared" si="4"/>
        <v>4770820403.63873</v>
      </c>
      <c r="N46" s="3">
        <f t="shared" si="5"/>
        <v>33149208.006973032</v>
      </c>
      <c r="O46" s="3">
        <f t="shared" si="6"/>
        <v>105697117.93294221</v>
      </c>
      <c r="P46" s="3">
        <f t="shared" si="7"/>
        <v>210762396.9100582</v>
      </c>
      <c r="Q46" s="3">
        <f t="shared" si="8"/>
        <v>54331046.988620527</v>
      </c>
      <c r="R46" s="3">
        <f t="shared" si="9"/>
        <v>802322282.40141606</v>
      </c>
      <c r="S46" s="3">
        <f t="shared" si="10"/>
        <v>12701334334.922327</v>
      </c>
      <c r="U46" s="257">
        <f t="shared" si="11"/>
        <v>0.60745118399899156</v>
      </c>
      <c r="V46" s="118">
        <f t="shared" si="12"/>
        <v>0.43098333539062678</v>
      </c>
      <c r="W46" s="118">
        <f t="shared" si="13"/>
        <v>2.994612042303316E-3</v>
      </c>
      <c r="X46" s="118">
        <f t="shared" si="14"/>
        <v>9.548398928027519E-3</v>
      </c>
      <c r="Y46" s="118">
        <f t="shared" si="15"/>
        <v>1.9039719190841811E-2</v>
      </c>
      <c r="Z46" s="118">
        <f t="shared" si="16"/>
        <v>4.9081235228559863E-3</v>
      </c>
      <c r="AA46" s="118">
        <f t="shared" si="17"/>
        <v>7.2479679399343702E-2</v>
      </c>
    </row>
    <row r="47" spans="2:27" x14ac:dyDescent="0.2">
      <c r="B47" t="s">
        <v>502</v>
      </c>
      <c r="C47">
        <v>7.9057382649915651</v>
      </c>
      <c r="D47">
        <v>6.69554335242589</v>
      </c>
      <c r="E47">
        <v>2.8049809609340199</v>
      </c>
      <c r="F47">
        <v>4.5121591714540203</v>
      </c>
      <c r="G47">
        <v>2.0366081048671369</v>
      </c>
      <c r="H47">
        <v>2.633721220175866</v>
      </c>
      <c r="I47">
        <v>1.1320876344926369</v>
      </c>
      <c r="L47" s="3">
        <f t="shared" si="3"/>
        <v>6482705377.2930832</v>
      </c>
      <c r="M47" s="3">
        <f t="shared" si="4"/>
        <v>4820791213.7466412</v>
      </c>
      <c r="N47" s="3">
        <f t="shared" si="5"/>
        <v>33659771.531208239</v>
      </c>
      <c r="O47" s="3">
        <f t="shared" si="6"/>
        <v>108291820.11489649</v>
      </c>
      <c r="P47" s="3">
        <f t="shared" si="7"/>
        <v>236246540.16458789</v>
      </c>
      <c r="Q47" s="3">
        <f t="shared" si="8"/>
        <v>60575588.064044915</v>
      </c>
      <c r="R47" s="3">
        <f t="shared" si="9"/>
        <v>815103096.83469856</v>
      </c>
      <c r="S47" s="3">
        <f t="shared" si="10"/>
        <v>12557373407.749159</v>
      </c>
      <c r="U47" s="257">
        <f t="shared" si="11"/>
        <v>0.58563050994952004</v>
      </c>
      <c r="V47" s="118">
        <f t="shared" si="12"/>
        <v>0.43549756661091188</v>
      </c>
      <c r="W47" s="118">
        <f t="shared" si="13"/>
        <v>3.0407350048101112E-3</v>
      </c>
      <c r="X47" s="118">
        <f t="shared" si="14"/>
        <v>9.7827974813394555E-3</v>
      </c>
      <c r="Y47" s="118">
        <f t="shared" si="15"/>
        <v>2.134188949493307E-2</v>
      </c>
      <c r="Z47" s="118">
        <f t="shared" si="16"/>
        <v>5.4722388977750487E-3</v>
      </c>
      <c r="AA47" s="118">
        <f t="shared" si="17"/>
        <v>7.3634264474326513E-2</v>
      </c>
    </row>
    <row r="48" spans="2:27" x14ac:dyDescent="0.2">
      <c r="B48" t="s">
        <v>501</v>
      </c>
      <c r="C48">
        <v>7.6284640384177784</v>
      </c>
      <c r="D48">
        <v>6.8410112193535424</v>
      </c>
      <c r="E48">
        <v>2.8364109772869548</v>
      </c>
      <c r="F48">
        <v>4.6195503273687821</v>
      </c>
      <c r="G48">
        <v>2.2747809289923939</v>
      </c>
      <c r="H48">
        <v>2.8141636490638828</v>
      </c>
      <c r="I48">
        <v>1.1500863876499741</v>
      </c>
      <c r="L48" s="3">
        <f t="shared" si="3"/>
        <v>6255340511.5025787</v>
      </c>
      <c r="M48" s="3">
        <f t="shared" si="4"/>
        <v>4925528077.9345503</v>
      </c>
      <c r="N48" s="3">
        <f t="shared" si="5"/>
        <v>34036931.727443457</v>
      </c>
      <c r="O48" s="3">
        <f t="shared" si="6"/>
        <v>110869207.85685077</v>
      </c>
      <c r="P48" s="3">
        <f t="shared" si="7"/>
        <v>263874587.7631177</v>
      </c>
      <c r="Q48" s="3">
        <f t="shared" si="8"/>
        <v>64725763.928469308</v>
      </c>
      <c r="R48" s="3">
        <f t="shared" si="9"/>
        <v>828062199.10798132</v>
      </c>
      <c r="S48" s="3">
        <f t="shared" si="10"/>
        <v>12482437279.820992</v>
      </c>
      <c r="U48" s="257">
        <f t="shared" si="11"/>
        <v>0.56509096749801713</v>
      </c>
      <c r="V48" s="118">
        <f t="shared" si="12"/>
        <v>0.44495921874764538</v>
      </c>
      <c r="W48" s="118">
        <f t="shared" si="13"/>
        <v>3.074806662428172E-3</v>
      </c>
      <c r="X48" s="118">
        <f t="shared" si="14"/>
        <v>1.0015631893797144E-2</v>
      </c>
      <c r="Y48" s="118">
        <f t="shared" si="15"/>
        <v>2.3837734464335746E-2</v>
      </c>
      <c r="Z48" s="118">
        <f t="shared" si="16"/>
        <v>5.8471548420313208E-3</v>
      </c>
      <c r="AA48" s="118">
        <f t="shared" si="17"/>
        <v>7.480495560265904E-2</v>
      </c>
    </row>
    <row r="49" spans="2:27" x14ac:dyDescent="0.2">
      <c r="B49" t="s">
        <v>500</v>
      </c>
      <c r="C49">
        <v>7.5568546466737141</v>
      </c>
      <c r="D49">
        <v>6.9352883481120173</v>
      </c>
      <c r="E49">
        <v>2.78892917592432</v>
      </c>
      <c r="F49">
        <v>4.6800214294592912</v>
      </c>
      <c r="G49">
        <v>2.5682697049363878</v>
      </c>
      <c r="H49">
        <v>2.961941986005876</v>
      </c>
      <c r="I49">
        <v>1.102867235294527</v>
      </c>
      <c r="L49" s="3">
        <f t="shared" si="3"/>
        <v>6196620810.2724457</v>
      </c>
      <c r="M49" s="3">
        <f t="shared" si="4"/>
        <v>4993407610.6406527</v>
      </c>
      <c r="N49" s="3">
        <f t="shared" si="5"/>
        <v>33467150.111091841</v>
      </c>
      <c r="O49" s="3">
        <f t="shared" si="6"/>
        <v>112320514.30702299</v>
      </c>
      <c r="P49" s="3">
        <f t="shared" si="7"/>
        <v>297919285.77262098</v>
      </c>
      <c r="Q49" s="3">
        <f t="shared" si="8"/>
        <v>68124665.678135142</v>
      </c>
      <c r="R49" s="3">
        <f t="shared" si="9"/>
        <v>794064409.41205943</v>
      </c>
      <c r="S49" s="3">
        <f t="shared" si="10"/>
        <v>12495924446.194027</v>
      </c>
      <c r="U49" s="257">
        <f t="shared" si="11"/>
        <v>0.55978638452314733</v>
      </c>
      <c r="V49" s="118">
        <f t="shared" si="12"/>
        <v>0.45109127674507499</v>
      </c>
      <c r="W49" s="118">
        <f t="shared" si="13"/>
        <v>3.0233340936280163E-3</v>
      </c>
      <c r="X49" s="118">
        <f t="shared" si="14"/>
        <v>1.0146739091647662E-2</v>
      </c>
      <c r="Y49" s="118">
        <f t="shared" si="15"/>
        <v>2.6913242712206787E-2</v>
      </c>
      <c r="Z49" s="118">
        <f t="shared" si="16"/>
        <v>6.1542026637474252E-3</v>
      </c>
      <c r="AA49" s="118">
        <f t="shared" si="17"/>
        <v>7.1733684928147384E-2</v>
      </c>
    </row>
    <row r="50" spans="2:27" x14ac:dyDescent="0.2">
      <c r="B50" t="s">
        <v>499</v>
      </c>
      <c r="C50">
        <v>7.4435778959296517</v>
      </c>
      <c r="D50">
        <v>7.0036232148704904</v>
      </c>
      <c r="E50">
        <v>2.8133235955616862</v>
      </c>
      <c r="F50">
        <v>4.7404166035498019</v>
      </c>
      <c r="G50">
        <v>2.8522439548803811</v>
      </c>
      <c r="H50">
        <v>3.1105301379478689</v>
      </c>
      <c r="I50">
        <v>1.0555511129390791</v>
      </c>
      <c r="L50" s="3">
        <f t="shared" si="3"/>
        <v>6103733874.6623144</v>
      </c>
      <c r="M50" s="3">
        <f t="shared" si="4"/>
        <v>5042608714.7067528</v>
      </c>
      <c r="N50" s="3">
        <f t="shared" si="5"/>
        <v>33759883.146740235</v>
      </c>
      <c r="O50" s="3">
        <f t="shared" si="6"/>
        <v>113769998.48519525</v>
      </c>
      <c r="P50" s="3">
        <f t="shared" si="7"/>
        <v>330860298.76612419</v>
      </c>
      <c r="Q50" s="3">
        <f t="shared" si="8"/>
        <v>71542193.172800988</v>
      </c>
      <c r="R50" s="3">
        <f t="shared" si="9"/>
        <v>759996801.31613696</v>
      </c>
      <c r="S50" s="3">
        <f t="shared" si="10"/>
        <v>12456271764.256065</v>
      </c>
      <c r="U50" s="257">
        <f t="shared" si="11"/>
        <v>0.55139522368780425</v>
      </c>
      <c r="V50" s="118">
        <f t="shared" si="12"/>
        <v>0.455535974751132</v>
      </c>
      <c r="W50" s="118">
        <f t="shared" si="13"/>
        <v>3.0497788241792951E-3</v>
      </c>
      <c r="X50" s="118">
        <f t="shared" si="14"/>
        <v>1.0277681670250739E-2</v>
      </c>
      <c r="Y50" s="118">
        <f t="shared" si="15"/>
        <v>2.988904696596948E-2</v>
      </c>
      <c r="Z50" s="118">
        <f t="shared" si="16"/>
        <v>6.4629330861537835E-3</v>
      </c>
      <c r="AA50" s="118">
        <f t="shared" si="17"/>
        <v>6.8656107043479381E-2</v>
      </c>
    </row>
    <row r="51" spans="2:27" x14ac:dyDescent="0.2">
      <c r="B51" t="s">
        <v>498</v>
      </c>
      <c r="C51">
        <v>7.3600640241855846</v>
      </c>
      <c r="D51">
        <v>7.0427757086289606</v>
      </c>
      <c r="E51">
        <v>2.8521783421990521</v>
      </c>
      <c r="F51">
        <v>4.8007646286403114</v>
      </c>
      <c r="G51">
        <v>3.1159555698243731</v>
      </c>
      <c r="H51">
        <v>3.264519045889863</v>
      </c>
      <c r="I51">
        <v>1.008208245583631</v>
      </c>
      <c r="L51" s="3">
        <f t="shared" si="3"/>
        <v>6035252499.8321791</v>
      </c>
      <c r="M51" s="3">
        <f t="shared" si="4"/>
        <v>5070798510.2128515</v>
      </c>
      <c r="N51" s="3">
        <f t="shared" si="5"/>
        <v>34226140.106388628</v>
      </c>
      <c r="O51" s="3">
        <f t="shared" si="6"/>
        <v>115218351.08736748</v>
      </c>
      <c r="P51" s="3">
        <f t="shared" si="7"/>
        <v>361450846.09962726</v>
      </c>
      <c r="Q51" s="3">
        <f t="shared" si="8"/>
        <v>75083938.055466846</v>
      </c>
      <c r="R51" s="3">
        <f t="shared" si="9"/>
        <v>725909936.82021427</v>
      </c>
      <c r="S51" s="3">
        <f t="shared" si="10"/>
        <v>12417940222.214096</v>
      </c>
      <c r="U51" s="257">
        <f t="shared" si="11"/>
        <v>0.54520879685984891</v>
      </c>
      <c r="V51" s="118">
        <f t="shared" si="12"/>
        <v>0.45808256654526697</v>
      </c>
      <c r="W51" s="118">
        <f t="shared" si="13"/>
        <v>3.0918992484704907E-3</v>
      </c>
      <c r="X51" s="118">
        <f t="shared" si="14"/>
        <v>1.0408522025261753E-2</v>
      </c>
      <c r="Y51" s="118">
        <f t="shared" si="15"/>
        <v>3.2652516349801763E-2</v>
      </c>
      <c r="Z51" s="118">
        <f t="shared" si="16"/>
        <v>6.7828849798511016E-3</v>
      </c>
      <c r="AA51" s="118">
        <f t="shared" si="17"/>
        <v>6.557678958641136E-2</v>
      </c>
    </row>
    <row r="52" spans="2:27" x14ac:dyDescent="0.2">
      <c r="B52" t="s">
        <v>497</v>
      </c>
      <c r="C52">
        <v>7.2734651304415214</v>
      </c>
      <c r="D52">
        <v>7.0990886033874308</v>
      </c>
      <c r="E52">
        <v>2.8750216138364171</v>
      </c>
      <c r="F52">
        <v>4.8611241277308217</v>
      </c>
      <c r="G52">
        <v>3.3905618077683668</v>
      </c>
      <c r="H52">
        <v>3.4131895948318571</v>
      </c>
      <c r="I52">
        <v>0.9609700062281834</v>
      </c>
      <c r="L52" s="3">
        <f t="shared" si="3"/>
        <v>5964241406.9620476</v>
      </c>
      <c r="M52" s="3">
        <f t="shared" si="4"/>
        <v>5111343794.4389505</v>
      </c>
      <c r="N52" s="3">
        <f t="shared" si="5"/>
        <v>34500259.366037004</v>
      </c>
      <c r="O52" s="3">
        <f t="shared" si="6"/>
        <v>116666979.06553972</v>
      </c>
      <c r="P52" s="3">
        <f t="shared" si="7"/>
        <v>393305169.70113057</v>
      </c>
      <c r="Q52" s="3">
        <f t="shared" si="8"/>
        <v>78503360.681132719</v>
      </c>
      <c r="R52" s="3">
        <f t="shared" si="9"/>
        <v>691898404.48429203</v>
      </c>
      <c r="S52" s="3">
        <f t="shared" si="10"/>
        <v>12390459374.699131</v>
      </c>
      <c r="U52" s="257">
        <f t="shared" si="11"/>
        <v>0.53879384197461355</v>
      </c>
      <c r="V52" s="118">
        <f t="shared" si="12"/>
        <v>0.4617453206109613</v>
      </c>
      <c r="W52" s="118">
        <f t="shared" si="13"/>
        <v>3.1166624595794141E-3</v>
      </c>
      <c r="X52" s="118">
        <f t="shared" si="14"/>
        <v>1.0539387257014485E-2</v>
      </c>
      <c r="Y52" s="118">
        <f t="shared" si="15"/>
        <v>3.5530151949313603E-2</v>
      </c>
      <c r="Z52" s="118">
        <f t="shared" si="16"/>
        <v>7.0917866033948515E-3</v>
      </c>
      <c r="AA52" s="118">
        <f t="shared" si="17"/>
        <v>6.2504277438039157E-2</v>
      </c>
    </row>
    <row r="53" spans="2:27" x14ac:dyDescent="0.2">
      <c r="B53" t="s">
        <v>496</v>
      </c>
      <c r="C53">
        <v>7.1755832766974574</v>
      </c>
      <c r="D53">
        <v>7.1340937591459026</v>
      </c>
      <c r="E53">
        <v>2.9142782154737841</v>
      </c>
      <c r="F53">
        <v>4.9214235378213314</v>
      </c>
      <c r="G53">
        <v>3.6556134197123602</v>
      </c>
      <c r="H53">
        <v>3.5834454707738508</v>
      </c>
      <c r="I53">
        <v>0.9145654018727355</v>
      </c>
      <c r="L53" s="3">
        <f t="shared" si="3"/>
        <v>5883978286.8919153</v>
      </c>
      <c r="M53" s="3">
        <f t="shared" si="4"/>
        <v>5136547506.5850496</v>
      </c>
      <c r="N53" s="3">
        <f t="shared" si="5"/>
        <v>34971338.58568541</v>
      </c>
      <c r="O53" s="3">
        <f t="shared" si="6"/>
        <v>118114164.90771195</v>
      </c>
      <c r="P53" s="3">
        <f t="shared" si="7"/>
        <v>424051156.68663377</v>
      </c>
      <c r="Q53" s="3">
        <f t="shared" si="8"/>
        <v>82419245.827798575</v>
      </c>
      <c r="R53" s="3">
        <f t="shared" si="9"/>
        <v>658487089.3483696</v>
      </c>
      <c r="S53" s="3">
        <f t="shared" si="10"/>
        <v>12338568788.833164</v>
      </c>
      <c r="U53" s="257">
        <f t="shared" si="11"/>
        <v>0.53154308334821454</v>
      </c>
      <c r="V53" s="118">
        <f t="shared" si="12"/>
        <v>0.46402215750816794</v>
      </c>
      <c r="W53" s="118">
        <f t="shared" si="13"/>
        <v>3.1592185141234995E-3</v>
      </c>
      <c r="X53" s="118">
        <f t="shared" si="14"/>
        <v>1.0670122210003656E-2</v>
      </c>
      <c r="Y53" s="118">
        <f t="shared" si="15"/>
        <v>3.8307663341438605E-2</v>
      </c>
      <c r="Z53" s="118">
        <f t="shared" si="16"/>
        <v>7.4455373419951686E-3</v>
      </c>
      <c r="AA53" s="118">
        <f t="shared" si="17"/>
        <v>5.9485987328840244E-2</v>
      </c>
    </row>
    <row r="54" spans="2:27" x14ac:dyDescent="0.2">
      <c r="B54" t="s">
        <v>495</v>
      </c>
      <c r="C54">
        <v>7.2348850559722644</v>
      </c>
      <c r="D54">
        <v>7.1092096787310588</v>
      </c>
      <c r="E54">
        <v>2.9473787293691611</v>
      </c>
      <c r="F54">
        <v>4.9500856863724252</v>
      </c>
      <c r="G54">
        <v>3.9107099131403329</v>
      </c>
      <c r="H54">
        <v>3.769514175322255</v>
      </c>
      <c r="I54">
        <v>0.90305008531155573</v>
      </c>
      <c r="L54" s="3">
        <f t="shared" si="3"/>
        <v>5932605745.8972569</v>
      </c>
      <c r="M54" s="3">
        <f t="shared" si="4"/>
        <v>5118630968.6863623</v>
      </c>
      <c r="N54" s="3">
        <f t="shared" si="5"/>
        <v>35368544.752429932</v>
      </c>
      <c r="O54" s="3">
        <f t="shared" si="6"/>
        <v>118802056.47293821</v>
      </c>
      <c r="P54" s="3">
        <f t="shared" si="7"/>
        <v>453642349.92427862</v>
      </c>
      <c r="Q54" s="3">
        <f t="shared" si="8"/>
        <v>86698826.032411858</v>
      </c>
      <c r="R54" s="3">
        <f t="shared" si="9"/>
        <v>650196061.4243201</v>
      </c>
      <c r="S54" s="3">
        <f t="shared" si="10"/>
        <v>12395944553.189997</v>
      </c>
      <c r="U54" s="257">
        <f t="shared" si="11"/>
        <v>0.53593595977209096</v>
      </c>
      <c r="V54" s="118">
        <f t="shared" si="12"/>
        <v>0.46240362471738433</v>
      </c>
      <c r="W54" s="118">
        <f t="shared" si="13"/>
        <v>3.1951010718594209E-3</v>
      </c>
      <c r="X54" s="118">
        <f t="shared" si="14"/>
        <v>1.0732264520148504E-2</v>
      </c>
      <c r="Y54" s="118">
        <f t="shared" si="15"/>
        <v>4.098085371138456E-2</v>
      </c>
      <c r="Z54" s="118">
        <f t="shared" si="16"/>
        <v>7.8321433331259988E-3</v>
      </c>
      <c r="AA54" s="118">
        <f t="shared" si="17"/>
        <v>5.8736997728267917E-2</v>
      </c>
    </row>
    <row r="55" spans="2:27" x14ac:dyDescent="0.2">
      <c r="B55" t="s">
        <v>494</v>
      </c>
      <c r="C55">
        <v>7.2940288762470686</v>
      </c>
      <c r="D55">
        <v>7.0776035533162123</v>
      </c>
      <c r="E55">
        <v>2.9801635682645391</v>
      </c>
      <c r="F55">
        <v>4.9787214069235173</v>
      </c>
      <c r="G55">
        <v>4.171565683568307</v>
      </c>
      <c r="H55">
        <v>3.9498625438706578</v>
      </c>
      <c r="I55">
        <v>0.89117193975037623</v>
      </c>
      <c r="L55" s="3">
        <f t="shared" si="3"/>
        <v>5981103678.5225964</v>
      </c>
      <c r="M55" s="3">
        <f t="shared" si="4"/>
        <v>5095874558.3876724</v>
      </c>
      <c r="N55" s="3">
        <f t="shared" si="5"/>
        <v>35761962.819174469</v>
      </c>
      <c r="O55" s="3">
        <f t="shared" si="6"/>
        <v>119489313.76616442</v>
      </c>
      <c r="P55" s="3">
        <f t="shared" si="7"/>
        <v>483901619.29392362</v>
      </c>
      <c r="Q55" s="3">
        <f t="shared" si="8"/>
        <v>90846838.509025127</v>
      </c>
      <c r="R55" s="3">
        <f t="shared" si="9"/>
        <v>641643796.62027085</v>
      </c>
      <c r="S55" s="3">
        <f t="shared" si="10"/>
        <v>12448621767.918829</v>
      </c>
      <c r="U55" s="257">
        <f t="shared" si="11"/>
        <v>0.54031713512433788</v>
      </c>
      <c r="V55" s="118">
        <f t="shared" si="12"/>
        <v>0.4603478706159374</v>
      </c>
      <c r="W55" s="118">
        <f t="shared" si="13"/>
        <v>3.2306414226299447E-3</v>
      </c>
      <c r="X55" s="118">
        <f t="shared" si="14"/>
        <v>1.0794349531833341E-2</v>
      </c>
      <c r="Y55" s="118">
        <f t="shared" si="15"/>
        <v>4.3714396317487782E-2</v>
      </c>
      <c r="Z55" s="118">
        <f t="shared" si="16"/>
        <v>8.2068638426319139E-3</v>
      </c>
      <c r="AA55" s="118">
        <f t="shared" si="17"/>
        <v>5.7964408676795393E-2</v>
      </c>
    </row>
    <row r="56" spans="2:27" x14ac:dyDescent="0.2">
      <c r="B56" t="s">
        <v>493</v>
      </c>
      <c r="C56">
        <v>7.3642844515218737</v>
      </c>
      <c r="D56">
        <v>7.0451436679013648</v>
      </c>
      <c r="E56">
        <v>3.0043816361599172</v>
      </c>
      <c r="F56">
        <v>5.0075421244746101</v>
      </c>
      <c r="G56">
        <v>4.4338196469962794</v>
      </c>
      <c r="H56">
        <v>4.1302214704190634</v>
      </c>
      <c r="I56">
        <v>0.88041250018919615</v>
      </c>
      <c r="L56" s="3">
        <f t="shared" si="3"/>
        <v>6038713250.2479362</v>
      </c>
      <c r="M56" s="3">
        <f t="shared" si="4"/>
        <v>5072503440.8889828</v>
      </c>
      <c r="N56" s="3">
        <f t="shared" si="5"/>
        <v>36052579.633919008</v>
      </c>
      <c r="O56" s="3">
        <f t="shared" si="6"/>
        <v>120181010.98739064</v>
      </c>
      <c r="P56" s="3">
        <f t="shared" si="7"/>
        <v>514323079.05156839</v>
      </c>
      <c r="Q56" s="3">
        <f t="shared" si="8"/>
        <v>94995093.819638461</v>
      </c>
      <c r="R56" s="3">
        <f t="shared" si="9"/>
        <v>633897000.13622117</v>
      </c>
      <c r="S56" s="3">
        <f t="shared" si="10"/>
        <v>12510665454.765657</v>
      </c>
      <c r="U56" s="257">
        <f t="shared" si="11"/>
        <v>0.54552143192697489</v>
      </c>
      <c r="V56" s="118">
        <f t="shared" si="12"/>
        <v>0.45823658548692497</v>
      </c>
      <c r="W56" s="118">
        <f t="shared" si="13"/>
        <v>3.256894979364898E-3</v>
      </c>
      <c r="X56" s="118">
        <f t="shared" si="14"/>
        <v>1.0856835634906333E-2</v>
      </c>
      <c r="Y56" s="118">
        <f t="shared" si="15"/>
        <v>4.646259077557334E-2</v>
      </c>
      <c r="Z56" s="118">
        <f t="shared" si="16"/>
        <v>8.5816062891210815E-3</v>
      </c>
      <c r="AA56" s="118">
        <f t="shared" si="17"/>
        <v>5.7264583509463243E-2</v>
      </c>
    </row>
    <row r="57" spans="2:27" x14ac:dyDescent="0.2">
      <c r="B57" t="s">
        <v>492</v>
      </c>
      <c r="C57">
        <v>7.4342122077966826</v>
      </c>
      <c r="D57">
        <v>7.0159815114865189</v>
      </c>
      <c r="E57">
        <v>3.0195827350552942</v>
      </c>
      <c r="F57">
        <v>5.0363318670257033</v>
      </c>
      <c r="G57">
        <v>4.6882586084242526</v>
      </c>
      <c r="H57">
        <v>4.3267037489674669</v>
      </c>
      <c r="I57">
        <v>0.86922361662801662</v>
      </c>
      <c r="L57" s="3">
        <f t="shared" si="3"/>
        <v>6096054010.39328</v>
      </c>
      <c r="M57" s="3">
        <f t="shared" si="4"/>
        <v>5051506688.2702932</v>
      </c>
      <c r="N57" s="3">
        <f t="shared" si="5"/>
        <v>36234992.820663527</v>
      </c>
      <c r="O57" s="3">
        <f t="shared" si="6"/>
        <v>120871964.80861688</v>
      </c>
      <c r="P57" s="3">
        <f t="shared" si="7"/>
        <v>543837998.57721329</v>
      </c>
      <c r="Q57" s="3">
        <f t="shared" si="8"/>
        <v>99514186.226251736</v>
      </c>
      <c r="R57" s="3">
        <f t="shared" si="9"/>
        <v>625841003.97217202</v>
      </c>
      <c r="S57" s="3">
        <f t="shared" si="10"/>
        <v>12573860845.068491</v>
      </c>
      <c r="U57" s="257">
        <f t="shared" si="11"/>
        <v>0.55070144500028728</v>
      </c>
      <c r="V57" s="118">
        <f t="shared" si="12"/>
        <v>0.45633979422035942</v>
      </c>
      <c r="W57" s="118">
        <f t="shared" si="13"/>
        <v>3.2733737056616211E-3</v>
      </c>
      <c r="X57" s="118">
        <f t="shared" si="14"/>
        <v>1.0919254581183551E-2</v>
      </c>
      <c r="Y57" s="118">
        <f t="shared" si="15"/>
        <v>4.9128890779498544E-2</v>
      </c>
      <c r="Z57" s="118">
        <f t="shared" si="16"/>
        <v>8.9898491810260373E-3</v>
      </c>
      <c r="AA57" s="118">
        <f t="shared" si="17"/>
        <v>5.6536826058348991E-2</v>
      </c>
    </row>
    <row r="58" spans="2:27" x14ac:dyDescent="0.2">
      <c r="B58" t="s">
        <v>491</v>
      </c>
      <c r="C58">
        <v>7.4909278050714869</v>
      </c>
      <c r="D58">
        <v>6.9699720660716737</v>
      </c>
      <c r="E58">
        <v>3.0529259239506721</v>
      </c>
      <c r="F58">
        <v>5.065185237576797</v>
      </c>
      <c r="G58">
        <v>4.9487778308522277</v>
      </c>
      <c r="H58">
        <v>4.5327423025158691</v>
      </c>
      <c r="I58">
        <v>0.85822993606683673</v>
      </c>
      <c r="L58" s="3">
        <f t="shared" si="3"/>
        <v>6142560800.1586189</v>
      </c>
      <c r="M58" s="3">
        <f t="shared" si="4"/>
        <v>5018379887.5716047</v>
      </c>
      <c r="N58" s="3">
        <f t="shared" si="5"/>
        <v>36635111.087408066</v>
      </c>
      <c r="O58" s="3">
        <f t="shared" si="6"/>
        <v>121564445.70184313</v>
      </c>
      <c r="P58" s="3">
        <f t="shared" si="7"/>
        <v>574058228.37885845</v>
      </c>
      <c r="Q58" s="3">
        <f t="shared" si="8"/>
        <v>104253072.95786498</v>
      </c>
      <c r="R58" s="3">
        <f t="shared" si="9"/>
        <v>617925553.96812248</v>
      </c>
      <c r="S58" s="3">
        <f t="shared" si="10"/>
        <v>12615377099.824322</v>
      </c>
      <c r="U58" s="257">
        <f t="shared" si="11"/>
        <v>0.55490274575688014</v>
      </c>
      <c r="V58" s="118">
        <f t="shared" si="12"/>
        <v>0.4533472063952021</v>
      </c>
      <c r="W58" s="118">
        <f t="shared" si="13"/>
        <v>3.3095193348328124E-3</v>
      </c>
      <c r="X58" s="118">
        <f t="shared" si="14"/>
        <v>1.0981811479118612E-2</v>
      </c>
      <c r="Y58" s="118">
        <f t="shared" si="15"/>
        <v>5.1858906653969618E-2</v>
      </c>
      <c r="Z58" s="118">
        <f t="shared" si="16"/>
        <v>9.4179477126897591E-3</v>
      </c>
      <c r="AA58" s="118">
        <f t="shared" si="17"/>
        <v>5.5821765176731833E-2</v>
      </c>
    </row>
    <row r="59" spans="2:27" x14ac:dyDescent="0.2">
      <c r="B59" t="s">
        <v>490</v>
      </c>
      <c r="C59">
        <v>7.5587998904893432</v>
      </c>
      <c r="D59">
        <v>6.9550774718045751</v>
      </c>
      <c r="E59">
        <v>3.0555962169324351</v>
      </c>
      <c r="F59">
        <v>5.0944266089374963</v>
      </c>
      <c r="G59">
        <v>5.2401467116191212</v>
      </c>
      <c r="H59">
        <v>4.7384515171415114</v>
      </c>
      <c r="I59">
        <v>0.86197451573736328</v>
      </c>
      <c r="L59" s="3">
        <f t="shared" si="3"/>
        <v>6198215910.2012615</v>
      </c>
      <c r="M59" s="3">
        <f t="shared" si="4"/>
        <v>5007655779.6992941</v>
      </c>
      <c r="N59" s="3">
        <f t="shared" si="5"/>
        <v>36667154.603189223</v>
      </c>
      <c r="O59" s="3">
        <f t="shared" si="6"/>
        <v>122266238.61449991</v>
      </c>
      <c r="P59" s="3">
        <f t="shared" si="7"/>
        <v>607857018.54781806</v>
      </c>
      <c r="Q59" s="3">
        <f t="shared" si="8"/>
        <v>108984384.89425476</v>
      </c>
      <c r="R59" s="3">
        <f t="shared" si="9"/>
        <v>620621651.3309015</v>
      </c>
      <c r="S59" s="3">
        <f t="shared" si="10"/>
        <v>12702268137.891218</v>
      </c>
      <c r="U59" s="257">
        <f t="shared" si="11"/>
        <v>0.5599304816446985</v>
      </c>
      <c r="V59" s="118">
        <f t="shared" si="12"/>
        <v>0.45237841876773827</v>
      </c>
      <c r="W59" s="118">
        <f t="shared" si="13"/>
        <v>3.3124140615549652E-3</v>
      </c>
      <c r="X59" s="118">
        <f t="shared" si="14"/>
        <v>1.1045209600334753E-2</v>
      </c>
      <c r="Y59" s="118">
        <f t="shared" si="15"/>
        <v>5.4912200235944751E-2</v>
      </c>
      <c r="Z59" s="118">
        <f t="shared" si="16"/>
        <v>9.8453619573264893E-3</v>
      </c>
      <c r="AA59" s="118">
        <f t="shared" si="17"/>
        <v>5.6065323503316951E-2</v>
      </c>
    </row>
    <row r="60" spans="2:27" x14ac:dyDescent="0.2">
      <c r="B60" t="s">
        <v>489</v>
      </c>
      <c r="C60">
        <v>7.6186772849071991</v>
      </c>
      <c r="D60">
        <v>6.95251002653748</v>
      </c>
      <c r="E60">
        <v>3.0649650559141981</v>
      </c>
      <c r="F60">
        <v>5.1236288252981952</v>
      </c>
      <c r="G60">
        <v>5.5304729903860137</v>
      </c>
      <c r="H60">
        <v>4.9356932627671561</v>
      </c>
      <c r="I60">
        <v>0.86587734040788977</v>
      </c>
      <c r="L60" s="3">
        <f t="shared" si="3"/>
        <v>6247315373.6239033</v>
      </c>
      <c r="M60" s="3">
        <f t="shared" si="4"/>
        <v>5005807219.106986</v>
      </c>
      <c r="N60" s="3">
        <f t="shared" si="5"/>
        <v>36779580.67097038</v>
      </c>
      <c r="O60" s="3">
        <f t="shared" si="6"/>
        <v>122967091.80715668</v>
      </c>
      <c r="P60" s="3">
        <f t="shared" si="7"/>
        <v>641534866.88477755</v>
      </c>
      <c r="Q60" s="3">
        <f t="shared" si="8"/>
        <v>113520945.04364459</v>
      </c>
      <c r="R60" s="3">
        <f t="shared" si="9"/>
        <v>623431685.09368062</v>
      </c>
      <c r="S60" s="3">
        <f t="shared" si="10"/>
        <v>12791356762.231119</v>
      </c>
      <c r="U60" s="257">
        <f t="shared" si="11"/>
        <v>0.5643659977030353</v>
      </c>
      <c r="V60" s="118">
        <f t="shared" si="12"/>
        <v>0.45221142467818148</v>
      </c>
      <c r="W60" s="118">
        <f t="shared" si="13"/>
        <v>3.322570336069139E-3</v>
      </c>
      <c r="X60" s="118">
        <f t="shared" si="14"/>
        <v>1.110852282972398E-2</v>
      </c>
      <c r="Y60" s="118">
        <f t="shared" si="15"/>
        <v>5.7954568251720844E-2</v>
      </c>
      <c r="Z60" s="118">
        <f t="shared" si="16"/>
        <v>1.0255182839054295E-2</v>
      </c>
      <c r="AA60" s="118">
        <f t="shared" si="17"/>
        <v>5.6319174543846398E-2</v>
      </c>
    </row>
    <row r="61" spans="2:27" x14ac:dyDescent="0.2">
      <c r="B61" t="s">
        <v>488</v>
      </c>
      <c r="C61">
        <v>7.6708642503250521</v>
      </c>
      <c r="D61">
        <v>6.9598428492703848</v>
      </c>
      <c r="E61">
        <v>3.0743334078959621</v>
      </c>
      <c r="F61">
        <v>5.1527143726588953</v>
      </c>
      <c r="G61">
        <v>5.8221734141529087</v>
      </c>
      <c r="H61">
        <v>5.1327708853927989</v>
      </c>
      <c r="I61">
        <v>0.86904507207841586</v>
      </c>
      <c r="L61" s="3">
        <f t="shared" si="3"/>
        <v>6290108685.2665424</v>
      </c>
      <c r="M61" s="3">
        <f t="shared" si="4"/>
        <v>5011086851.4746771</v>
      </c>
      <c r="N61" s="3">
        <f t="shared" si="5"/>
        <v>36892000.894751549</v>
      </c>
      <c r="O61" s="3">
        <f t="shared" si="6"/>
        <v>123665144.94381349</v>
      </c>
      <c r="P61" s="3">
        <f t="shared" si="7"/>
        <v>675372116.04173744</v>
      </c>
      <c r="Q61" s="3">
        <f t="shared" si="8"/>
        <v>118053730.36403437</v>
      </c>
      <c r="R61" s="3">
        <f t="shared" si="9"/>
        <v>625712451.89645946</v>
      </c>
      <c r="S61" s="3">
        <f t="shared" si="10"/>
        <v>12880890980.882015</v>
      </c>
      <c r="U61" s="257">
        <f t="shared" si="11"/>
        <v>0.56823183263785881</v>
      </c>
      <c r="V61" s="118">
        <f t="shared" si="12"/>
        <v>0.45268837274475054</v>
      </c>
      <c r="W61" s="118">
        <f t="shared" si="13"/>
        <v>3.3327260826517633E-3</v>
      </c>
      <c r="X61" s="118">
        <f t="shared" si="14"/>
        <v>1.117158310943746E-2</v>
      </c>
      <c r="Y61" s="118">
        <f t="shared" si="15"/>
        <v>6.1011336117261852E-2</v>
      </c>
      <c r="Z61" s="118">
        <f t="shared" si="16"/>
        <v>1.0664662712683843E-2</v>
      </c>
      <c r="AA61" s="118">
        <f t="shared" si="17"/>
        <v>5.6525213002799939E-2</v>
      </c>
    </row>
    <row r="62" spans="2:27" x14ac:dyDescent="0.2">
      <c r="B62" t="s">
        <v>487</v>
      </c>
      <c r="C62">
        <v>7.7347813177429066</v>
      </c>
      <c r="D62">
        <v>6.963094496003289</v>
      </c>
      <c r="E62">
        <v>3.0834911268777252</v>
      </c>
      <c r="F62">
        <v>5.1818856750195934</v>
      </c>
      <c r="G62">
        <v>6.1071688819198</v>
      </c>
      <c r="H62">
        <v>5.32894750701844</v>
      </c>
      <c r="I62">
        <v>0.87234320074894234</v>
      </c>
      <c r="L62" s="3">
        <f t="shared" si="3"/>
        <v>6342520680.5491838</v>
      </c>
      <c r="M62" s="3">
        <f t="shared" si="4"/>
        <v>5013428037.1223679</v>
      </c>
      <c r="N62" s="3">
        <f t="shared" si="5"/>
        <v>37001893.522532701</v>
      </c>
      <c r="O62" s="3">
        <f t="shared" si="6"/>
        <v>124365256.20047024</v>
      </c>
      <c r="P62" s="3">
        <f t="shared" si="7"/>
        <v>708431590.30269682</v>
      </c>
      <c r="Q62" s="3">
        <f t="shared" si="8"/>
        <v>122565792.66142412</v>
      </c>
      <c r="R62" s="3">
        <f t="shared" si="9"/>
        <v>628087104.53923845</v>
      </c>
      <c r="S62" s="3">
        <f t="shared" si="10"/>
        <v>12976400354.897913</v>
      </c>
      <c r="U62" s="257">
        <f t="shared" si="11"/>
        <v>0.57296659408982242</v>
      </c>
      <c r="V62" s="118">
        <f t="shared" si="12"/>
        <v>0.45289986928283882</v>
      </c>
      <c r="W62" s="118">
        <f t="shared" si="13"/>
        <v>3.3426534928766042E-3</v>
      </c>
      <c r="X62" s="118">
        <f t="shared" si="14"/>
        <v>1.123482931428481E-2</v>
      </c>
      <c r="Y62" s="118">
        <f t="shared" si="15"/>
        <v>6.399784184956353E-2</v>
      </c>
      <c r="Z62" s="118">
        <f t="shared" si="16"/>
        <v>1.1072270523058795E-2</v>
      </c>
      <c r="AA62" s="118">
        <f t="shared" si="17"/>
        <v>5.6739732860977471E-2</v>
      </c>
    </row>
    <row r="63" spans="2:27" x14ac:dyDescent="0.2">
      <c r="B63" t="s">
        <v>486</v>
      </c>
      <c r="C63">
        <v>7.8020255341607632</v>
      </c>
      <c r="D63">
        <v>6.968111644736191</v>
      </c>
      <c r="E63">
        <v>3.0842996018594881</v>
      </c>
      <c r="F63">
        <v>5.2109483653802942</v>
      </c>
      <c r="G63">
        <v>6.3913978706866947</v>
      </c>
      <c r="H63">
        <v>5.5255596146440853</v>
      </c>
      <c r="I63">
        <v>0.87562756041946888</v>
      </c>
      <c r="L63" s="3">
        <f t="shared" si="3"/>
        <v>6397660938.0118256</v>
      </c>
      <c r="M63" s="3">
        <f t="shared" si="4"/>
        <v>5017040384.2100573</v>
      </c>
      <c r="N63" s="3">
        <f t="shared" si="5"/>
        <v>37011595.222313859</v>
      </c>
      <c r="O63" s="3">
        <f t="shared" si="6"/>
        <v>125062760.76912706</v>
      </c>
      <c r="P63" s="3">
        <f t="shared" si="7"/>
        <v>741402152.99965656</v>
      </c>
      <c r="Q63" s="3">
        <f t="shared" si="8"/>
        <v>127087871.13681397</v>
      </c>
      <c r="R63" s="3">
        <f t="shared" si="9"/>
        <v>630451843.50201762</v>
      </c>
      <c r="S63" s="3">
        <f t="shared" si="10"/>
        <v>13075717545.85181</v>
      </c>
      <c r="U63" s="257">
        <f t="shared" si="11"/>
        <v>0.57794781955314567</v>
      </c>
      <c r="V63" s="118">
        <f t="shared" si="12"/>
        <v>0.45322619919357149</v>
      </c>
      <c r="W63" s="118">
        <f t="shared" si="13"/>
        <v>3.3435299188530362E-3</v>
      </c>
      <c r="X63" s="118">
        <f t="shared" si="14"/>
        <v>1.1297840037811655E-2</v>
      </c>
      <c r="Y63" s="118">
        <f t="shared" si="15"/>
        <v>6.6976315545618739E-2</v>
      </c>
      <c r="Z63" s="118">
        <f t="shared" si="16"/>
        <v>1.148078316854325E-2</v>
      </c>
      <c r="AA63" s="118">
        <f t="shared" si="17"/>
        <v>5.6953357143444579E-2</v>
      </c>
    </row>
    <row r="64" spans="2:27" x14ac:dyDescent="0.2">
      <c r="B64" t="s">
        <v>485</v>
      </c>
      <c r="C64">
        <v>7.8673688264732551</v>
      </c>
      <c r="D64">
        <v>6.9767100947540346</v>
      </c>
      <c r="E64">
        <v>3.0716735646146982</v>
      </c>
      <c r="F64">
        <v>5.2361956372590646</v>
      </c>
      <c r="G64">
        <v>6.7448285481190098</v>
      </c>
      <c r="H64">
        <v>5.7012925380579782</v>
      </c>
      <c r="I64">
        <v>0.88357804210699442</v>
      </c>
      <c r="L64" s="3">
        <f t="shared" si="3"/>
        <v>6451242437.7080688</v>
      </c>
      <c r="M64" s="3">
        <f t="shared" si="4"/>
        <v>5023231268.2229052</v>
      </c>
      <c r="N64" s="3">
        <f t="shared" si="5"/>
        <v>36860082.775376379</v>
      </c>
      <c r="O64" s="3">
        <f t="shared" si="6"/>
        <v>125668695.29421756</v>
      </c>
      <c r="P64" s="3">
        <f t="shared" si="7"/>
        <v>782400111.58180511</v>
      </c>
      <c r="Q64" s="3">
        <f t="shared" si="8"/>
        <v>131129728.3753335</v>
      </c>
      <c r="R64" s="3">
        <f t="shared" si="9"/>
        <v>636176190.31703603</v>
      </c>
      <c r="S64" s="3">
        <f t="shared" si="10"/>
        <v>13186708514.274742</v>
      </c>
      <c r="U64" s="257">
        <f t="shared" si="11"/>
        <v>0.58278823095004206</v>
      </c>
      <c r="V64" s="118">
        <f t="shared" si="12"/>
        <v>0.45378546733094227</v>
      </c>
      <c r="W64" s="118">
        <f t="shared" si="13"/>
        <v>3.3298426839102778E-3</v>
      </c>
      <c r="X64" s="118">
        <f t="shared" si="14"/>
        <v>1.1352578565057968E-2</v>
      </c>
      <c r="Y64" s="118">
        <f t="shared" si="15"/>
        <v>7.0679963019010236E-2</v>
      </c>
      <c r="Z64" s="118">
        <f t="shared" si="16"/>
        <v>1.18459138937538E-2</v>
      </c>
      <c r="AA64" s="118">
        <f t="shared" si="17"/>
        <v>5.7470479540545856E-2</v>
      </c>
    </row>
    <row r="65" spans="2:27" x14ac:dyDescent="0.2">
      <c r="B65" t="s">
        <v>484</v>
      </c>
      <c r="C65">
        <v>7.9367085787857459</v>
      </c>
      <c r="D65">
        <v>6.9954356197718761</v>
      </c>
      <c r="E65">
        <v>3.0587010293699088</v>
      </c>
      <c r="F65">
        <v>5.2614026571378396</v>
      </c>
      <c r="G65">
        <v>7.0920473735513312</v>
      </c>
      <c r="H65">
        <v>5.8745482284718751</v>
      </c>
      <c r="I65">
        <v>0.89138546979452005</v>
      </c>
      <c r="L65" s="3">
        <f t="shared" si="3"/>
        <v>6508101034.6043119</v>
      </c>
      <c r="M65" s="3">
        <f t="shared" si="4"/>
        <v>5036713646.2357512</v>
      </c>
      <c r="N65" s="3">
        <f t="shared" si="5"/>
        <v>36704412.352438904</v>
      </c>
      <c r="O65" s="3">
        <f t="shared" si="6"/>
        <v>126273663.77130815</v>
      </c>
      <c r="P65" s="3">
        <f t="shared" si="7"/>
        <v>822677495.33195436</v>
      </c>
      <c r="Q65" s="3">
        <f t="shared" si="8"/>
        <v>135114609.25485313</v>
      </c>
      <c r="R65" s="3">
        <f t="shared" si="9"/>
        <v>641797538.25205445</v>
      </c>
      <c r="S65" s="3">
        <f t="shared" si="10"/>
        <v>13307382399.802671</v>
      </c>
      <c r="U65" s="257">
        <f t="shared" si="11"/>
        <v>0.58792468666681652</v>
      </c>
      <c r="V65" s="118">
        <f t="shared" si="12"/>
        <v>0.4550034298097943</v>
      </c>
      <c r="W65" s="118">
        <f t="shared" si="13"/>
        <v>3.3157798283795828E-3</v>
      </c>
      <c r="X65" s="118">
        <f t="shared" si="14"/>
        <v>1.1407229822075279E-2</v>
      </c>
      <c r="Y65" s="118">
        <f t="shared" si="15"/>
        <v>7.431851566211703E-2</v>
      </c>
      <c r="Z65" s="118">
        <f t="shared" si="16"/>
        <v>1.220589752492965E-2</v>
      </c>
      <c r="AA65" s="118">
        <f t="shared" si="17"/>
        <v>5.7978297290419152E-2</v>
      </c>
    </row>
    <row r="66" spans="2:27" x14ac:dyDescent="0.2">
      <c r="B66" t="s">
        <v>483</v>
      </c>
      <c r="C66">
        <v>7.999020988098235</v>
      </c>
      <c r="D66">
        <v>7.0231565067897233</v>
      </c>
      <c r="E66">
        <v>3.045696451125119</v>
      </c>
      <c r="F66">
        <v>5.2866966210166133</v>
      </c>
      <c r="G66">
        <v>7.4388481689836494</v>
      </c>
      <c r="H66">
        <v>6.0511983278857686</v>
      </c>
      <c r="I66">
        <v>0.89900567648204577</v>
      </c>
      <c r="L66" s="3">
        <f t="shared" si="3"/>
        <v>6559197210.2405529</v>
      </c>
      <c r="M66" s="3">
        <f t="shared" si="4"/>
        <v>5056672684.8886003</v>
      </c>
      <c r="N66" s="3">
        <f t="shared" si="5"/>
        <v>36548357.413501427</v>
      </c>
      <c r="O66" s="3">
        <f t="shared" si="6"/>
        <v>126880718.90439872</v>
      </c>
      <c r="P66" s="3">
        <f t="shared" si="7"/>
        <v>862906387.60210335</v>
      </c>
      <c r="Q66" s="3">
        <f t="shared" si="8"/>
        <v>139177561.54137269</v>
      </c>
      <c r="R66" s="3">
        <f t="shared" si="9"/>
        <v>647284087.06707299</v>
      </c>
      <c r="S66" s="3">
        <f t="shared" si="10"/>
        <v>13428667007.657604</v>
      </c>
      <c r="U66" s="257">
        <f t="shared" si="11"/>
        <v>0.5925405804415258</v>
      </c>
      <c r="V66" s="118">
        <f t="shared" si="12"/>
        <v>0.45680647673296804</v>
      </c>
      <c r="W66" s="118">
        <f t="shared" si="13"/>
        <v>3.3016822366873535E-3</v>
      </c>
      <c r="X66" s="118">
        <f t="shared" si="14"/>
        <v>1.1462069582093457E-2</v>
      </c>
      <c r="Y66" s="118">
        <f t="shared" si="15"/>
        <v>7.7952687712784727E-2</v>
      </c>
      <c r="Z66" s="118">
        <f t="shared" si="16"/>
        <v>1.2572933921152326E-2</v>
      </c>
      <c r="AA66" s="118">
        <f t="shared" si="17"/>
        <v>5.8473937643234927E-2</v>
      </c>
    </row>
    <row r="67" spans="2:27" x14ac:dyDescent="0.2">
      <c r="B67" t="s">
        <v>482</v>
      </c>
      <c r="C67">
        <v>8.063222618410725</v>
      </c>
      <c r="D67">
        <v>7.0426967288075639</v>
      </c>
      <c r="E67">
        <v>3.03257364788033</v>
      </c>
      <c r="F67">
        <v>5.3115091088953852</v>
      </c>
      <c r="G67">
        <v>7.7880418474159674</v>
      </c>
      <c r="H67">
        <v>6.230250343299665</v>
      </c>
      <c r="I67">
        <v>0.90674020816957113</v>
      </c>
      <c r="L67" s="3">
        <f t="shared" si="3"/>
        <v>6611842547.0967941</v>
      </c>
      <c r="M67" s="3">
        <f t="shared" si="4"/>
        <v>5070741644.7414465</v>
      </c>
      <c r="N67" s="3">
        <f t="shared" si="5"/>
        <v>36390883.774563961</v>
      </c>
      <c r="O67" s="3">
        <f t="shared" si="6"/>
        <v>127476218.61348924</v>
      </c>
      <c r="P67" s="3">
        <f t="shared" si="7"/>
        <v>903412854.3002522</v>
      </c>
      <c r="Q67" s="3">
        <f t="shared" si="8"/>
        <v>143295757.89589229</v>
      </c>
      <c r="R67" s="3">
        <f t="shared" si="9"/>
        <v>652852949.88209116</v>
      </c>
      <c r="S67" s="3">
        <f t="shared" si="10"/>
        <v>13546012856.304533</v>
      </c>
      <c r="U67" s="257">
        <f t="shared" si="11"/>
        <v>0.59729642135596495</v>
      </c>
      <c r="V67" s="118">
        <f t="shared" si="12"/>
        <v>0.4580774294685252</v>
      </c>
      <c r="W67" s="118">
        <f t="shared" si="13"/>
        <v>3.2874564833780058E-3</v>
      </c>
      <c r="X67" s="118">
        <f t="shared" si="14"/>
        <v>1.1515865455577236E-2</v>
      </c>
      <c r="Y67" s="118">
        <f t="shared" si="15"/>
        <v>8.1611935105359495E-2</v>
      </c>
      <c r="Z67" s="118">
        <f t="shared" si="16"/>
        <v>1.2944960920808544E-2</v>
      </c>
      <c r="AA67" s="118">
        <f t="shared" si="17"/>
        <v>5.8977014025762088E-2</v>
      </c>
    </row>
    <row r="68" spans="2:27" x14ac:dyDescent="0.2">
      <c r="B68" t="s">
        <v>481</v>
      </c>
      <c r="C68">
        <v>8.1198193287232119</v>
      </c>
      <c r="D68">
        <v>7.0611921518254066</v>
      </c>
      <c r="E68">
        <v>3.0195141386355409</v>
      </c>
      <c r="F68">
        <v>5.3369832187741588</v>
      </c>
      <c r="G68">
        <v>8.1451516018482835</v>
      </c>
      <c r="H68">
        <v>6.4096021637135578</v>
      </c>
      <c r="I68">
        <v>0.91418307885709682</v>
      </c>
      <c r="L68" s="3">
        <f t="shared" si="3"/>
        <v>6658251849.5530338</v>
      </c>
      <c r="M68" s="3">
        <f t="shared" si="4"/>
        <v>5084058349.3142929</v>
      </c>
      <c r="N68" s="3">
        <f t="shared" si="5"/>
        <v>36234169.663626492</v>
      </c>
      <c r="O68" s="3">
        <f t="shared" si="6"/>
        <v>128087597.25057982</v>
      </c>
      <c r="P68" s="3">
        <f t="shared" si="7"/>
        <v>944837585.81440091</v>
      </c>
      <c r="Q68" s="3">
        <f t="shared" si="8"/>
        <v>147420849.76541182</v>
      </c>
      <c r="R68" s="3">
        <f t="shared" si="9"/>
        <v>658211816.77710974</v>
      </c>
      <c r="S68" s="3">
        <f t="shared" si="10"/>
        <v>13657102218.138454</v>
      </c>
      <c r="U68" s="257">
        <f t="shared" si="11"/>
        <v>0.60148891536611193</v>
      </c>
      <c r="V68" s="118">
        <f t="shared" si="12"/>
        <v>0.45928042544566144</v>
      </c>
      <c r="W68" s="118">
        <f t="shared" si="13"/>
        <v>3.2732993438254264E-3</v>
      </c>
      <c r="X68" s="118">
        <f t="shared" si="14"/>
        <v>1.15710957895464E-2</v>
      </c>
      <c r="Y68" s="118">
        <f t="shared" si="15"/>
        <v>8.5354136120097374E-2</v>
      </c>
      <c r="Z68" s="118">
        <f t="shared" si="16"/>
        <v>1.3317610843107508E-2</v>
      </c>
      <c r="AA68" s="118">
        <f t="shared" si="17"/>
        <v>5.9461119930601436E-2</v>
      </c>
    </row>
    <row r="69" spans="2:27" x14ac:dyDescent="0.2">
      <c r="B69" t="s">
        <v>480</v>
      </c>
      <c r="C69">
        <v>8.1165161528165637</v>
      </c>
      <c r="D69">
        <v>7.1004237476699279</v>
      </c>
      <c r="E69">
        <v>3.0222816470839948</v>
      </c>
      <c r="F69">
        <v>5.3792523070133704</v>
      </c>
      <c r="G69">
        <v>8.5533563184833969</v>
      </c>
      <c r="H69">
        <v>6.4929297526927758</v>
      </c>
      <c r="I69">
        <v>0.92601509079748567</v>
      </c>
      <c r="L69" s="3">
        <f t="shared" si="3"/>
        <v>6655543245.3095818</v>
      </c>
      <c r="M69" s="3">
        <f t="shared" si="4"/>
        <v>5112305098.3223476</v>
      </c>
      <c r="N69" s="3">
        <f t="shared" si="5"/>
        <v>36267379.765007935</v>
      </c>
      <c r="O69" s="3">
        <f t="shared" si="6"/>
        <v>129102055.3683209</v>
      </c>
      <c r="P69" s="3">
        <f t="shared" si="7"/>
        <v>992189332.94407403</v>
      </c>
      <c r="Q69" s="3">
        <f t="shared" si="8"/>
        <v>149337384.31193385</v>
      </c>
      <c r="R69" s="3">
        <f t="shared" si="9"/>
        <v>666730865.37418973</v>
      </c>
      <c r="S69" s="3">
        <f t="shared" si="10"/>
        <v>13741475361.395454</v>
      </c>
      <c r="U69" s="257">
        <f t="shared" si="11"/>
        <v>0.60124422720090542</v>
      </c>
      <c r="V69" s="118">
        <f t="shared" si="12"/>
        <v>0.46183216226898605</v>
      </c>
      <c r="W69" s="118">
        <f t="shared" si="13"/>
        <v>3.2762994568146134E-3</v>
      </c>
      <c r="X69" s="118">
        <f t="shared" si="14"/>
        <v>1.1662739260942783E-2</v>
      </c>
      <c r="Y69" s="118">
        <f t="shared" si="15"/>
        <v>8.9631768096969711E-2</v>
      </c>
      <c r="Z69" s="118">
        <f t="shared" si="16"/>
        <v>1.3490745520451772E-2</v>
      </c>
      <c r="AA69" s="118">
        <f t="shared" si="17"/>
        <v>6.0230708317522065E-2</v>
      </c>
    </row>
    <row r="70" spans="2:27" x14ac:dyDescent="0.2">
      <c r="B70" t="s">
        <v>479</v>
      </c>
      <c r="C70">
        <v>8.114688623909915</v>
      </c>
      <c r="D70">
        <v>7.1438538305144492</v>
      </c>
      <c r="E70">
        <v>3.0173146595324511</v>
      </c>
      <c r="F70">
        <v>5.4214968602525806</v>
      </c>
      <c r="G70">
        <v>8.962820251118508</v>
      </c>
      <c r="H70">
        <v>6.577838762671993</v>
      </c>
      <c r="I70">
        <v>0.93841092473787491</v>
      </c>
      <c r="L70" s="3">
        <f t="shared" si="3"/>
        <v>6654044671.6061306</v>
      </c>
      <c r="M70" s="3">
        <f t="shared" si="4"/>
        <v>5143574757.9704037</v>
      </c>
      <c r="N70" s="3">
        <f t="shared" si="5"/>
        <v>36207775.914389417</v>
      </c>
      <c r="O70" s="3">
        <f t="shared" si="6"/>
        <v>130115924.64606193</v>
      </c>
      <c r="P70" s="3">
        <f t="shared" si="7"/>
        <v>1039687149.1297469</v>
      </c>
      <c r="Q70" s="3">
        <f t="shared" si="8"/>
        <v>151290291.54145584</v>
      </c>
      <c r="R70" s="3">
        <f t="shared" si="9"/>
        <v>675655865.81126988</v>
      </c>
      <c r="S70" s="3">
        <f t="shared" si="10"/>
        <v>13830576436.619459</v>
      </c>
      <c r="U70" s="257">
        <f t="shared" si="11"/>
        <v>0.60110885000402969</v>
      </c>
      <c r="V70" s="118">
        <f t="shared" si="12"/>
        <v>0.46465698086860679</v>
      </c>
      <c r="W70" s="118">
        <f t="shared" si="13"/>
        <v>3.270915002115354E-3</v>
      </c>
      <c r="X70" s="118">
        <f t="shared" si="14"/>
        <v>1.1754329538086236E-2</v>
      </c>
      <c r="Y70" s="118">
        <f t="shared" si="15"/>
        <v>9.3922595567200839E-2</v>
      </c>
      <c r="Z70" s="118">
        <f t="shared" si="16"/>
        <v>1.3667166010069429E-2</v>
      </c>
      <c r="AA70" s="118">
        <f t="shared" si="17"/>
        <v>6.1036969323239626E-2</v>
      </c>
    </row>
    <row r="71" spans="2:27" x14ac:dyDescent="0.2">
      <c r="B71" t="s">
        <v>478</v>
      </c>
      <c r="C71">
        <v>8.1164983020032651</v>
      </c>
      <c r="D71">
        <v>7.1948539813589711</v>
      </c>
      <c r="E71">
        <v>3.0199215229809062</v>
      </c>
      <c r="F71">
        <v>5.4639173164917967</v>
      </c>
      <c r="G71">
        <v>9.3590204517536204</v>
      </c>
      <c r="H71">
        <v>6.6597588196512127</v>
      </c>
      <c r="I71">
        <v>0.9506038286782641</v>
      </c>
      <c r="L71" s="3">
        <f t="shared" si="3"/>
        <v>6655528607.6426773</v>
      </c>
      <c r="M71" s="3">
        <f t="shared" si="4"/>
        <v>5180294866.5784588</v>
      </c>
      <c r="N71" s="3">
        <f t="shared" si="5"/>
        <v>36239058.275770873</v>
      </c>
      <c r="O71" s="3">
        <f t="shared" si="6"/>
        <v>131134015.59580313</v>
      </c>
      <c r="P71" s="3">
        <f t="shared" si="7"/>
        <v>1085646372.40342</v>
      </c>
      <c r="Q71" s="3">
        <f t="shared" si="8"/>
        <v>153174452.85197788</v>
      </c>
      <c r="R71" s="3">
        <f t="shared" si="9"/>
        <v>684434756.64835012</v>
      </c>
      <c r="S71" s="3">
        <f t="shared" si="10"/>
        <v>13926452129.996456</v>
      </c>
      <c r="U71" s="257">
        <f t="shared" si="11"/>
        <v>0.6012429048726744</v>
      </c>
      <c r="V71" s="118">
        <f t="shared" si="12"/>
        <v>0.46797417865533031</v>
      </c>
      <c r="W71" s="118">
        <f t="shared" si="13"/>
        <v>3.2737409681560781E-3</v>
      </c>
      <c r="X71" s="118">
        <f t="shared" si="14"/>
        <v>1.1846301189946326E-2</v>
      </c>
      <c r="Y71" s="118">
        <f t="shared" si="15"/>
        <v>9.8074430610780083E-2</v>
      </c>
      <c r="Z71" s="118">
        <f t="shared" si="16"/>
        <v>1.3837376174636391E-2</v>
      </c>
      <c r="AA71" s="118">
        <f t="shared" si="17"/>
        <v>6.1830031172960334E-2</v>
      </c>
    </row>
    <row r="72" spans="2:27" x14ac:dyDescent="0.2">
      <c r="B72" t="s">
        <v>477</v>
      </c>
      <c r="C72">
        <v>8.117781796096617</v>
      </c>
      <c r="D72">
        <v>7.2482399962034938</v>
      </c>
      <c r="E72">
        <v>3.022583563429361</v>
      </c>
      <c r="F72">
        <v>5.5060007967310094</v>
      </c>
      <c r="G72">
        <v>9.7554748623887289</v>
      </c>
      <c r="H72">
        <v>6.7454082466304284</v>
      </c>
      <c r="I72">
        <v>0.96216986261865334</v>
      </c>
      <c r="L72" s="3">
        <f t="shared" si="3"/>
        <v>6656581072.7992258</v>
      </c>
      <c r="M72" s="3">
        <f t="shared" si="4"/>
        <v>5218732797.2665157</v>
      </c>
      <c r="N72" s="3">
        <f t="shared" si="5"/>
        <v>36271002.761152335</v>
      </c>
      <c r="O72" s="3">
        <f t="shared" si="6"/>
        <v>132144019.12154423</v>
      </c>
      <c r="P72" s="3">
        <f t="shared" si="7"/>
        <v>1131635084.0370924</v>
      </c>
      <c r="Q72" s="3">
        <f t="shared" si="8"/>
        <v>155144389.67249987</v>
      </c>
      <c r="R72" s="3">
        <f t="shared" si="9"/>
        <v>692762301.08543038</v>
      </c>
      <c r="S72" s="3">
        <f t="shared" si="10"/>
        <v>14023270666.743462</v>
      </c>
      <c r="U72" s="257">
        <f t="shared" si="11"/>
        <v>0.6013379817997383</v>
      </c>
      <c r="V72" s="118">
        <f t="shared" si="12"/>
        <v>0.47144655995914492</v>
      </c>
      <c r="W72" s="118">
        <f t="shared" si="13"/>
        <v>3.2766267487330494E-3</v>
      </c>
      <c r="X72" s="118">
        <f t="shared" si="14"/>
        <v>1.1937542245247464E-2</v>
      </c>
      <c r="Y72" s="118">
        <f t="shared" si="15"/>
        <v>0.10222892955504567</v>
      </c>
      <c r="Z72" s="118">
        <f t="shared" si="16"/>
        <v>1.4015335072600738E-2</v>
      </c>
      <c r="AA72" s="118">
        <f t="shared" si="17"/>
        <v>6.2582319579031778E-2</v>
      </c>
    </row>
    <row r="73" spans="2:27" x14ac:dyDescent="0.2">
      <c r="B73" t="s">
        <v>476</v>
      </c>
      <c r="C73">
        <v>8.1151956611899667</v>
      </c>
      <c r="D73">
        <v>7.3056379750480156</v>
      </c>
      <c r="E73">
        <v>3.0253884868778158</v>
      </c>
      <c r="F73">
        <v>5.5481525149702211</v>
      </c>
      <c r="G73">
        <v>10.151999586023839</v>
      </c>
      <c r="H73">
        <v>6.8334749716096459</v>
      </c>
      <c r="I73">
        <v>0.9731070365590424</v>
      </c>
      <c r="L73" s="3">
        <f t="shared" si="3"/>
        <v>6654460442.1757727</v>
      </c>
      <c r="M73" s="3">
        <f t="shared" si="4"/>
        <v>5260059342.0345716</v>
      </c>
      <c r="N73" s="3">
        <f t="shared" si="5"/>
        <v>36304661.84253379</v>
      </c>
      <c r="O73" s="3">
        <f t="shared" si="6"/>
        <v>133155660.35928531</v>
      </c>
      <c r="P73" s="3">
        <f t="shared" si="7"/>
        <v>1177631951.9787652</v>
      </c>
      <c r="Q73" s="3">
        <f t="shared" si="8"/>
        <v>157169924.34702185</v>
      </c>
      <c r="R73" s="3">
        <f t="shared" si="9"/>
        <v>700637066.32251048</v>
      </c>
      <c r="S73" s="3">
        <f t="shared" si="10"/>
        <v>14119419049.060459</v>
      </c>
      <c r="U73" s="257">
        <f t="shared" si="11"/>
        <v>0.6011464096209721</v>
      </c>
      <c r="V73" s="118">
        <f t="shared" si="12"/>
        <v>0.4751798910421432</v>
      </c>
      <c r="W73" s="118">
        <f t="shared" si="13"/>
        <v>3.2796674213915506E-3</v>
      </c>
      <c r="X73" s="118">
        <f t="shared" si="14"/>
        <v>1.2028931247132299E-2</v>
      </c>
      <c r="Y73" s="118">
        <f t="shared" si="15"/>
        <v>0.10638416531866918</v>
      </c>
      <c r="Z73" s="118">
        <f t="shared" si="16"/>
        <v>1.4198316534092986E-2</v>
      </c>
      <c r="AA73" s="118">
        <f t="shared" si="17"/>
        <v>6.3293705106079998E-2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R15"/>
  <sheetViews>
    <sheetView showGridLines="0" workbookViewId="0">
      <selection activeCell="C29" sqref="C29"/>
    </sheetView>
  </sheetViews>
  <sheetFormatPr baseColWidth="10" defaultColWidth="11" defaultRowHeight="16" x14ac:dyDescent="0.2"/>
  <cols>
    <col min="2" max="2" width="12.5" customWidth="1"/>
    <col min="3" max="3" width="13.1640625" customWidth="1"/>
    <col min="7" max="7" width="11.1640625" bestFit="1" customWidth="1"/>
    <col min="8" max="8" width="12.1640625" bestFit="1" customWidth="1"/>
    <col min="11" max="11" width="12.1640625" bestFit="1" customWidth="1"/>
    <col min="16" max="16" width="12.1640625" bestFit="1" customWidth="1"/>
  </cols>
  <sheetData>
    <row r="1" spans="1:18" ht="21" x14ac:dyDescent="0.2">
      <c r="A1" s="33" t="s">
        <v>271</v>
      </c>
    </row>
    <row r="2" spans="1:18" x14ac:dyDescent="0.2">
      <c r="A2" s="1" t="s">
        <v>269</v>
      </c>
    </row>
    <row r="3" spans="1:18" x14ac:dyDescent="0.2">
      <c r="A3" s="1" t="s">
        <v>1</v>
      </c>
    </row>
    <row r="6" spans="1:18" s="18" customFormat="1" ht="51" x14ac:dyDescent="0.2">
      <c r="A6" s="37" t="s">
        <v>335</v>
      </c>
      <c r="B6" s="37" t="s">
        <v>268</v>
      </c>
      <c r="C6" s="37" t="s">
        <v>148</v>
      </c>
      <c r="D6" s="37" t="s">
        <v>265</v>
      </c>
      <c r="E6" s="37" t="s">
        <v>26</v>
      </c>
      <c r="F6" s="37" t="s">
        <v>36</v>
      </c>
      <c r="G6" s="37" t="s">
        <v>65</v>
      </c>
      <c r="H6" s="37" t="s">
        <v>267</v>
      </c>
      <c r="I6" s="37" t="s">
        <v>266</v>
      </c>
      <c r="J6" s="37" t="s">
        <v>77</v>
      </c>
      <c r="K6" s="39" t="s">
        <v>246</v>
      </c>
      <c r="L6" s="39" t="s">
        <v>153</v>
      </c>
      <c r="M6" s="39" t="s">
        <v>248</v>
      </c>
      <c r="N6" s="39" t="s">
        <v>86</v>
      </c>
      <c r="O6" s="39" t="s">
        <v>191</v>
      </c>
      <c r="P6" s="39" t="s">
        <v>31</v>
      </c>
    </row>
    <row r="7" spans="1:18" x14ac:dyDescent="0.2">
      <c r="A7" s="286">
        <v>2021</v>
      </c>
      <c r="B7" s="288" t="s">
        <v>262</v>
      </c>
      <c r="C7" s="317">
        <f>Norfolk!C18</f>
        <v>0.45470835006152965</v>
      </c>
      <c r="D7" s="317">
        <f>Norfolk!C42</f>
        <v>0.20571648019853944</v>
      </c>
      <c r="E7" s="317">
        <f>Norfolk!C27</f>
        <v>3.7238600194913984E-2</v>
      </c>
      <c r="F7" s="317">
        <f>Norfolk!C30</f>
        <v>9.3036387992825126E-2</v>
      </c>
      <c r="G7" s="317">
        <f>Norfolk!C44</f>
        <v>3.5475715642361183E-4</v>
      </c>
      <c r="H7" s="317"/>
      <c r="I7" s="317">
        <f>Norfolk!C63</f>
        <v>2.616295095661404E-5</v>
      </c>
      <c r="J7" s="317">
        <f>Norfolk!C47</f>
        <v>3.2418076481157847E-2</v>
      </c>
      <c r="K7" s="317">
        <f>Norfolk!C25</f>
        <v>0.13641642946110238</v>
      </c>
      <c r="L7" s="317">
        <f>Norfolk!C61</f>
        <v>2.0108408056070941E-2</v>
      </c>
      <c r="M7" s="317">
        <f>Norfolk!C53</f>
        <v>1.9976347446480414E-2</v>
      </c>
      <c r="N7" s="317"/>
      <c r="O7" s="317"/>
      <c r="P7" s="317">
        <f>Baltimore!V29</f>
        <v>0</v>
      </c>
      <c r="Q7" s="298">
        <f t="shared" ref="Q7" si="0">SUM(C7:P7)</f>
        <v>1</v>
      </c>
    </row>
    <row r="8" spans="1:18" x14ac:dyDescent="0.2">
      <c r="A8" s="287">
        <v>2021</v>
      </c>
      <c r="B8" s="289" t="s">
        <v>263</v>
      </c>
      <c r="C8" s="317">
        <f>+IFERROR(VLOOKUP(C6,Baltimore!$Z$22:$AA$29,2,FALSE),0)</f>
        <v>4.2721289242309099E-2</v>
      </c>
      <c r="D8" s="317">
        <f>+IFERROR(VLOOKUP(D6,Baltimore!$Z$22:$AA$29,2,FALSE),0)</f>
        <v>6.0099430326172251E-2</v>
      </c>
      <c r="E8" s="317">
        <f>+IFERROR(VLOOKUP(E6,Baltimore!$Z$22:$AA$29,2,FALSE),0)</f>
        <v>3.7925247301463731E-2</v>
      </c>
      <c r="F8" s="317">
        <f>+IFERROR(VLOOKUP(F6,Baltimore!$Z$22:$AA$29,2,FALSE),0)</f>
        <v>1.0471618256748657E-2</v>
      </c>
      <c r="G8" s="317">
        <f>+IFERROR(VLOOKUP(G6,Baltimore!$Z$22:$AA$29,2,FALSE),0)</f>
        <v>0.71583663892441629</v>
      </c>
      <c r="H8" s="317">
        <f>+IFERROR(VLOOKUP(H6,Baltimore!$Z$22:$AA$29,2,FALSE),0)</f>
        <v>0</v>
      </c>
      <c r="I8" s="317">
        <f>+IFERROR(VLOOKUP(I6,Baltimore!$Z$22:$AA$29,2,FALSE),0)</f>
        <v>0</v>
      </c>
      <c r="J8" s="317">
        <f>+IFERROR(VLOOKUP(J6,Baltimore!$Z$22:$AA$29,2,FALSE),0)</f>
        <v>0</v>
      </c>
      <c r="K8" s="317">
        <f>+IFERROR(VLOOKUP(K6,Baltimore!$Z$22:$AA$29,2,FALSE),0)</f>
        <v>6.7751178582241237E-2</v>
      </c>
      <c r="L8" s="317">
        <f>+IFERROR(VLOOKUP(L6,Baltimore!$Z$22:$AA$29,2,FALSE),0)</f>
        <v>0</v>
      </c>
      <c r="M8" s="317">
        <f>+IFERROR(VLOOKUP(M6,Baltimore!$Z$22:$AA$29,2,FALSE),0)</f>
        <v>0</v>
      </c>
      <c r="N8" s="317">
        <f>+IFERROR(VLOOKUP(N6,Baltimore!$Z$22:$AA$29,2,FALSE),0)</f>
        <v>0</v>
      </c>
      <c r="O8" s="317">
        <f>+IFERROR(VLOOKUP(O6,Baltimore!$Z$22:$AA$29,2,FALSE),0)</f>
        <v>5.0229537773329135E-3</v>
      </c>
      <c r="P8" s="317">
        <f>+IFERROR(VLOOKUP(P6,Baltimore!$Z$22:$AA$29,2,FALSE),0)</f>
        <v>6.0171643589315836E-2</v>
      </c>
      <c r="Q8" s="298">
        <f>SUM(C8:P8)</f>
        <v>1</v>
      </c>
    </row>
    <row r="9" spans="1:18" x14ac:dyDescent="0.2">
      <c r="A9" s="287">
        <v>2021</v>
      </c>
      <c r="B9" s="289" t="s">
        <v>264</v>
      </c>
      <c r="C9" s="317">
        <f>+IFERROR(VLOOKUP(C$6,'New Orleans'!$L$36:$M$49,2,FALSE),0)</f>
        <v>0.27906519181155176</v>
      </c>
      <c r="D9" s="317">
        <f>+IFERROR(VLOOKUP(D$6,'New Orleans'!$L$36:$M$49,2,FALSE),0)</f>
        <v>0.34316156453226215</v>
      </c>
      <c r="E9" s="317">
        <f>+IFERROR(VLOOKUP(E$6,'New Orleans'!$L$36:$M$49,2,FALSE),0)</f>
        <v>2.676132078220139E-3</v>
      </c>
      <c r="F9" s="317">
        <f>+IFERROR(VLOOKUP(F$6,'New Orleans'!$L$36:$M$49,2,FALSE),0)</f>
        <v>9.0692098030900909E-3</v>
      </c>
      <c r="G9" s="317">
        <f>+IFERROR(VLOOKUP(G$6,'New Orleans'!$L$36:$M$49,2,FALSE),0)</f>
        <v>0.25504879047529644</v>
      </c>
      <c r="H9" s="317">
        <f>+IFERROR(VLOOKUP(H$6,'New Orleans'!$L$36:$M$49,2,FALSE),0)</f>
        <v>0</v>
      </c>
      <c r="I9" s="317">
        <f>+IFERROR(VLOOKUP(I$6,'New Orleans'!$L$36:$M$49,2,FALSE),0)</f>
        <v>0</v>
      </c>
      <c r="J9" s="317">
        <f>+IFERROR(VLOOKUP(J$6,'New Orleans'!$L$36:$M$49,2,FALSE),0)</f>
        <v>0</v>
      </c>
      <c r="K9" s="317">
        <f>+IFERROR(VLOOKUP(K$6,'New Orleans'!$L$36:$M$49,2,FALSE),0)</f>
        <v>8.9127994678285527E-2</v>
      </c>
      <c r="L9" s="317">
        <f>+IFERROR(VLOOKUP(L$6,'New Orleans'!$L$36:$M$49,2,FALSE),0)</f>
        <v>0</v>
      </c>
      <c r="M9" s="317">
        <f>+IFERROR(VLOOKUP(M$6,'New Orleans'!$L$36:$M$49,2,FALSE),0)</f>
        <v>4.9063601609462548E-3</v>
      </c>
      <c r="N9" s="317">
        <f>+IFERROR(VLOOKUP(N$6,'New Orleans'!$L$36:$M$49,2,FALSE),0)</f>
        <v>4.5763831116491812E-4</v>
      </c>
      <c r="O9" s="317">
        <f>+IFERROR(VLOOKUP(O$6,'New Orleans'!$L$36:$M$49,2,FALSE),0)</f>
        <v>1.6487118149182807E-2</v>
      </c>
      <c r="P9" s="317">
        <f>+IFERROR(VLOOKUP(P$6,'New Orleans'!$L$36:$M$49,2,FALSE),0)</f>
        <v>0</v>
      </c>
      <c r="Q9" s="298">
        <f t="shared" ref="Q9:Q12" si="1">SUM(C9:P9)</f>
        <v>1.0000000000000002</v>
      </c>
    </row>
    <row r="10" spans="1:18" x14ac:dyDescent="0.2">
      <c r="A10" s="287">
        <v>2021</v>
      </c>
      <c r="B10" s="289" t="s">
        <v>284</v>
      </c>
      <c r="C10" s="317">
        <f>+IFERROR(VLOOKUP(C$6,Alabama!$AB$30:$AC$43,2,FALSE),0)</f>
        <v>0.13670240585774057</v>
      </c>
      <c r="D10" s="317">
        <f>+IFERROR(VLOOKUP(D$6,Alabama!$AB$30:$AC$43,2,FALSE),0)</f>
        <v>0.2909316087631047</v>
      </c>
      <c r="E10" s="317">
        <f>+IFERROR(VLOOKUP(E$6,Alabama!$AB$30:$AC$43,2,FALSE),0)</f>
        <v>1.5122555357058906E-2</v>
      </c>
      <c r="F10" s="317">
        <f>+IFERROR(VLOOKUP(F$6,Alabama!$AB$30:$AC$43,2,FALSE),0)</f>
        <v>0.27529265196746744</v>
      </c>
      <c r="G10" s="317">
        <f>+IFERROR(VLOOKUP(G$6,Alabama!$AB$30:$AC$43,2,FALSE),0)</f>
        <v>0</v>
      </c>
      <c r="H10" s="317">
        <f>+IFERROR(VLOOKUP(H$6,Alabama!$AB$30:$AC$43,2,FALSE),0)</f>
        <v>0</v>
      </c>
      <c r="I10" s="317">
        <f>+IFERROR(VLOOKUP(I$6,Alabama!$AB$30:$AC$43,2,FALSE),0)</f>
        <v>0</v>
      </c>
      <c r="J10" s="317">
        <f>+IFERROR(VLOOKUP(J$6,Alabama!$AB$30:$AC$43,2,FALSE),0)</f>
        <v>0</v>
      </c>
      <c r="K10" s="317">
        <f>+IFERROR(VLOOKUP(K$6,Alabama!$AB$30:$AC$43,2,FALSE),0)</f>
        <v>0.28195077805462837</v>
      </c>
      <c r="L10" s="317">
        <f>+IFERROR(VLOOKUP(L$6,Alabama!$AB$30:$AC$43,2,FALSE),0)</f>
        <v>0</v>
      </c>
      <c r="M10" s="317">
        <f>+IFERROR(VLOOKUP(M$6,Alabama!$AB$30:$AC$43,2,FALSE),0)</f>
        <v>0</v>
      </c>
      <c r="N10" s="317">
        <f>+IFERROR(VLOOKUP(N$6,Alabama!$AB$30:$AC$43,2,FALSE),0)</f>
        <v>0</v>
      </c>
      <c r="O10" s="317">
        <f>+IFERROR(VLOOKUP(O$6,Alabama!$AB$30:$AC$43,2,FALSE),0)</f>
        <v>0</v>
      </c>
      <c r="P10" s="317">
        <f>+IFERROR(VLOOKUP(P$6,Alabama!$AB$30:$AC$43,2,FALSE),0)</f>
        <v>0</v>
      </c>
      <c r="Q10" s="298">
        <f t="shared" si="1"/>
        <v>1</v>
      </c>
    </row>
    <row r="11" spans="1:18" x14ac:dyDescent="0.2">
      <c r="A11" s="287">
        <v>2021</v>
      </c>
      <c r="B11" s="289" t="s">
        <v>287</v>
      </c>
      <c r="C11" s="317">
        <f>+IFERROR(VLOOKUP(C$6,Houston!$Z$34:$AA$47,2,FALSE),0)</f>
        <v>4.3674052674302682E-4</v>
      </c>
      <c r="D11" s="317">
        <f>+IFERROR(VLOOKUP(D$6,Houston!$Z$34:$AA$47,2,FALSE),0)</f>
        <v>9.3417718393412161E-2</v>
      </c>
      <c r="E11" s="317">
        <f>+IFERROR(VLOOKUP(E$6,Houston!$Z$34:$AA$47,2,FALSE),0)</f>
        <v>8.024914272310033E-5</v>
      </c>
      <c r="F11" s="317">
        <f>+IFERROR(VLOOKUP(F$6,Houston!$Z$34:$AA$47,2,FALSE),0)</f>
        <v>0</v>
      </c>
      <c r="G11" s="317">
        <f>+IFERROR(VLOOKUP(G$6,Houston!$Z$34:$AA$47,2,FALSE),0)</f>
        <v>3.0865054893500129E-5</v>
      </c>
      <c r="H11" s="317">
        <f>+IFERROR(VLOOKUP(H$6,Houston!$Z$34:$AA$47,2,FALSE),0)</f>
        <v>0</v>
      </c>
      <c r="I11" s="317">
        <f>+IFERROR(VLOOKUP(I$6,Houston!$Z$34:$AA$47,2,FALSE),0)</f>
        <v>0</v>
      </c>
      <c r="J11" s="317">
        <f>+IFERROR(VLOOKUP(J$6,Houston!$Z$34:$AA$47,2,FALSE),0)</f>
        <v>0</v>
      </c>
      <c r="K11" s="317">
        <f>+IFERROR(VLOOKUP(K$6,Houston!$Z$34:$AA$47,2,FALSE),0)</f>
        <v>0.90408684191844846</v>
      </c>
      <c r="L11" s="317">
        <f>+IFERROR(VLOOKUP(L$6,Houston!$Z$34:$AA$47,2,FALSE),0)</f>
        <v>3.4105885657317642E-4</v>
      </c>
      <c r="M11" s="317">
        <f>+IFERROR(VLOOKUP(M$6,Houston!$Z$34:$AA$47,2,FALSE),0)</f>
        <v>1.6065261072066817E-3</v>
      </c>
      <c r="N11" s="317">
        <f>+IFERROR(VLOOKUP(N$6,Houston!$Z$34:$AA$47,2,FALSE),0)</f>
        <v>0</v>
      </c>
      <c r="O11" s="317">
        <f>+IFERROR(VLOOKUP(O$6,Houston!$Z$34:$AA$47,2,FALSE),0)</f>
        <v>0</v>
      </c>
      <c r="P11" s="317">
        <f>+IFERROR(VLOOKUP(P$6,Houston!$Z$34:$AA$47,2,FALSE),0)</f>
        <v>0</v>
      </c>
      <c r="Q11" s="298">
        <f t="shared" si="1"/>
        <v>1</v>
      </c>
    </row>
    <row r="12" spans="1:18" x14ac:dyDescent="0.2">
      <c r="A12" s="287">
        <v>2021</v>
      </c>
      <c r="B12" s="289" t="s">
        <v>288</v>
      </c>
      <c r="C12" s="317">
        <f>+IFERROR(VLOOKUP(C$6,Seattle!$Z$17:$AA$30,2,FALSE),0)</f>
        <v>0</v>
      </c>
      <c r="D12" s="317">
        <f>+IFERROR(VLOOKUP(D$6,Seattle!$Z$17:$AA$30,2,FALSE),0)</f>
        <v>1.5526978740491455E-5</v>
      </c>
      <c r="E12" s="317">
        <f>+IFERROR(VLOOKUP(E$6,Seattle!$Z$17:$AA$30,2,FALSE),0)</f>
        <v>0</v>
      </c>
      <c r="F12" s="317">
        <f>+IFERROR(VLOOKUP(F$6,Seattle!$Z$17:$AA$30,2,FALSE),0)</f>
        <v>1.2898153627002309E-4</v>
      </c>
      <c r="G12" s="317">
        <f>+IFERROR(VLOOKUP(G$6,Seattle!$Z$17:$AA$30,2,FALSE),0)</f>
        <v>1.3528456724388594E-5</v>
      </c>
      <c r="H12" s="317">
        <f>+IFERROR(VLOOKUP(H$6,Seattle!$Z$17:$AA$30,2,FALSE),0)</f>
        <v>0</v>
      </c>
      <c r="I12" s="317">
        <f>+IFERROR(VLOOKUP(I$6,Seattle!$Z$17:$AA$30,2,FALSE),0)</f>
        <v>0.80763626038405134</v>
      </c>
      <c r="J12" s="317">
        <f>+IFERROR(VLOOKUP(J$6,Seattle!$Z$17:$AA$30,2,FALSE),0)</f>
        <v>0.19209178688929587</v>
      </c>
      <c r="K12" s="317">
        <f>+IFERROR(VLOOKUP(K$6,Seattle!$Z$17:$AA$30,2,FALSE),0)</f>
        <v>9.2239477666285871E-7</v>
      </c>
      <c r="L12" s="317">
        <f>+IFERROR(VLOOKUP(L$6,Seattle!$Z$17:$AA$30,2,FALSE),0)</f>
        <v>5.7188476153097238E-5</v>
      </c>
      <c r="M12" s="317">
        <f>+IFERROR(VLOOKUP(M$6,Seattle!$Z$17:$AA$30,2,FALSE),0)</f>
        <v>6.6104958994171545E-6</v>
      </c>
      <c r="N12" s="317">
        <f>+IFERROR(VLOOKUP(N$6,Seattle!$Z$17:$AA$30,2,FALSE),0)</f>
        <v>0</v>
      </c>
      <c r="O12" s="317">
        <f>+IFERROR(VLOOKUP(O$6,Seattle!$Z$17:$AA$30,2,FALSE),0)</f>
        <v>0</v>
      </c>
      <c r="P12" s="317">
        <f>+IFERROR(VLOOKUP(P$6,Seattle!$Z$17:$AA$30,2,FALSE),0)</f>
        <v>4.9194388088685798E-5</v>
      </c>
      <c r="Q12" s="298">
        <f t="shared" si="1"/>
        <v>1</v>
      </c>
    </row>
    <row r="15" spans="1:18" x14ac:dyDescent="0.2">
      <c r="R15" s="21"/>
    </row>
  </sheetData>
  <conditionalFormatting sqref="C7:P12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horizontalDpi="0" verticalDpi="0"/>
  <headerFooter>
    <oddHeader>&amp;L&amp;B Confidential&amp;B&amp;C&amp;D&amp;RPage 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AK44"/>
  <sheetViews>
    <sheetView zoomScale="85" zoomScaleNormal="85" workbookViewId="0">
      <selection activeCell="AB10" sqref="AB10"/>
    </sheetView>
  </sheetViews>
  <sheetFormatPr baseColWidth="10" defaultColWidth="11" defaultRowHeight="16" x14ac:dyDescent="0.2"/>
  <cols>
    <col min="1" max="1" width="37.83203125" customWidth="1"/>
    <col min="4" max="20" width="0" hidden="1" customWidth="1"/>
    <col min="22" max="22" width="12.1640625" bestFit="1" customWidth="1"/>
    <col min="23" max="23" width="30.5" customWidth="1"/>
    <col min="25" max="25" width="28.33203125" bestFit="1" customWidth="1"/>
    <col min="26" max="26" width="26.6640625" bestFit="1" customWidth="1"/>
    <col min="27" max="27" width="7" bestFit="1" customWidth="1"/>
    <col min="28" max="28" width="12.1640625" bestFit="1" customWidth="1"/>
  </cols>
  <sheetData>
    <row r="1" spans="1:37" x14ac:dyDescent="0.2">
      <c r="A1" s="1" t="s">
        <v>371</v>
      </c>
    </row>
    <row r="2" spans="1:37" x14ac:dyDescent="0.2">
      <c r="A2" t="s">
        <v>372</v>
      </c>
    </row>
    <row r="3" spans="1:37" x14ac:dyDescent="0.2">
      <c r="A3" t="s">
        <v>373</v>
      </c>
    </row>
    <row r="4" spans="1:37" x14ac:dyDescent="0.2">
      <c r="A4" t="s">
        <v>3</v>
      </c>
    </row>
    <row r="5" spans="1:37" x14ac:dyDescent="0.2">
      <c r="A5" t="s">
        <v>4</v>
      </c>
      <c r="B5" t="s">
        <v>5</v>
      </c>
      <c r="C5" t="s">
        <v>6</v>
      </c>
      <c r="D5">
        <v>2001</v>
      </c>
      <c r="E5">
        <v>2002</v>
      </c>
      <c r="F5">
        <v>2003</v>
      </c>
      <c r="G5">
        <v>2004</v>
      </c>
      <c r="H5">
        <v>2005</v>
      </c>
      <c r="I5">
        <v>2006</v>
      </c>
      <c r="J5">
        <v>2007</v>
      </c>
      <c r="K5">
        <v>2008</v>
      </c>
      <c r="L5">
        <v>2009</v>
      </c>
      <c r="M5">
        <v>2010</v>
      </c>
      <c r="N5">
        <v>2011</v>
      </c>
      <c r="O5">
        <v>2012</v>
      </c>
      <c r="P5">
        <v>2013</v>
      </c>
      <c r="Q5">
        <v>2014</v>
      </c>
      <c r="R5">
        <v>2015</v>
      </c>
      <c r="S5">
        <v>2016</v>
      </c>
      <c r="T5">
        <v>2017</v>
      </c>
      <c r="U5">
        <v>2018</v>
      </c>
      <c r="Y5" s="291" t="s">
        <v>843</v>
      </c>
      <c r="Z5" s="292" t="s">
        <v>709</v>
      </c>
      <c r="AA5" s="292" t="s">
        <v>710</v>
      </c>
      <c r="AB5" s="292" t="s">
        <v>711</v>
      </c>
    </row>
    <row r="6" spans="1:37" x14ac:dyDescent="0.2">
      <c r="A6" t="s">
        <v>371</v>
      </c>
      <c r="B6" t="s">
        <v>7</v>
      </c>
      <c r="Y6" t="s">
        <v>658</v>
      </c>
      <c r="Z6" s="24">
        <v>5253518</v>
      </c>
      <c r="AA6" s="118">
        <f>+Z6/$Z$15</f>
        <v>0.80763626038405134</v>
      </c>
      <c r="AB6" t="s">
        <v>266</v>
      </c>
    </row>
    <row r="7" spans="1:37" x14ac:dyDescent="0.2">
      <c r="A7" t="s">
        <v>8</v>
      </c>
      <c r="C7" t="s">
        <v>9</v>
      </c>
      <c r="Y7" t="s">
        <v>678</v>
      </c>
      <c r="Z7" s="24">
        <v>1249520</v>
      </c>
      <c r="AA7" s="118">
        <f t="shared" ref="AA7:AA14" si="0">+Z7/$Z$15</f>
        <v>0.19209178688929587</v>
      </c>
      <c r="AB7" t="s">
        <v>77</v>
      </c>
    </row>
    <row r="8" spans="1:37" x14ac:dyDescent="0.2">
      <c r="A8" t="s">
        <v>10</v>
      </c>
      <c r="B8" t="s">
        <v>7</v>
      </c>
      <c r="C8" t="s">
        <v>374</v>
      </c>
      <c r="D8">
        <v>1514</v>
      </c>
      <c r="E8">
        <v>4823</v>
      </c>
      <c r="F8">
        <v>3182</v>
      </c>
      <c r="G8">
        <v>4783</v>
      </c>
      <c r="H8">
        <v>4167</v>
      </c>
      <c r="I8">
        <v>38064</v>
      </c>
      <c r="J8">
        <v>899</v>
      </c>
      <c r="K8">
        <v>30581</v>
      </c>
      <c r="L8">
        <v>365260</v>
      </c>
      <c r="M8">
        <v>3500204</v>
      </c>
      <c r="N8">
        <v>4863661</v>
      </c>
      <c r="O8">
        <v>4746960</v>
      </c>
      <c r="P8">
        <v>4502803</v>
      </c>
      <c r="Q8">
        <v>4367927</v>
      </c>
      <c r="R8">
        <v>4036724</v>
      </c>
      <c r="S8">
        <v>1109551</v>
      </c>
      <c r="T8">
        <v>5993334</v>
      </c>
      <c r="U8">
        <v>6628645</v>
      </c>
      <c r="Y8" t="s">
        <v>697</v>
      </c>
      <c r="Z8" s="24">
        <v>839</v>
      </c>
      <c r="AA8" s="118">
        <f t="shared" si="0"/>
        <v>1.2898153627002309E-4</v>
      </c>
      <c r="AB8" t="s">
        <v>36</v>
      </c>
    </row>
    <row r="9" spans="1:37" x14ac:dyDescent="0.2">
      <c r="A9" t="s">
        <v>12</v>
      </c>
      <c r="B9" t="s">
        <v>7</v>
      </c>
      <c r="C9" t="s">
        <v>375</v>
      </c>
      <c r="D9">
        <v>1376</v>
      </c>
      <c r="E9">
        <v>4823</v>
      </c>
      <c r="F9">
        <v>3182</v>
      </c>
      <c r="G9">
        <v>4783</v>
      </c>
      <c r="H9">
        <v>4167</v>
      </c>
      <c r="I9">
        <v>38064</v>
      </c>
      <c r="J9">
        <v>899</v>
      </c>
      <c r="K9">
        <v>30581</v>
      </c>
      <c r="L9">
        <v>245270</v>
      </c>
      <c r="M9">
        <v>3500204</v>
      </c>
      <c r="N9">
        <v>4863661</v>
      </c>
      <c r="O9">
        <v>4746960</v>
      </c>
      <c r="P9">
        <v>4502803</v>
      </c>
      <c r="Q9">
        <v>4367927</v>
      </c>
      <c r="R9">
        <v>4036724</v>
      </c>
      <c r="S9">
        <v>1109551</v>
      </c>
      <c r="T9">
        <v>5993334</v>
      </c>
      <c r="U9">
        <v>6628645</v>
      </c>
      <c r="Y9" t="s">
        <v>654</v>
      </c>
      <c r="Z9" s="24">
        <v>372</v>
      </c>
      <c r="AA9" s="118">
        <f t="shared" si="0"/>
        <v>5.7188476153097238E-5</v>
      </c>
      <c r="AB9" t="s">
        <v>153</v>
      </c>
    </row>
    <row r="10" spans="1:37" x14ac:dyDescent="0.2">
      <c r="A10" t="s">
        <v>14</v>
      </c>
      <c r="B10" t="s">
        <v>7</v>
      </c>
      <c r="C10" t="s">
        <v>376</v>
      </c>
      <c r="D10">
        <v>138</v>
      </c>
      <c r="E10" t="s">
        <v>16</v>
      </c>
      <c r="F10" t="s">
        <v>16</v>
      </c>
      <c r="G10" t="s">
        <v>16</v>
      </c>
      <c r="H10" t="s">
        <v>16</v>
      </c>
      <c r="I10" t="s">
        <v>16</v>
      </c>
      <c r="J10" t="s">
        <v>16</v>
      </c>
      <c r="K10" t="s">
        <v>16</v>
      </c>
      <c r="L10">
        <v>119990</v>
      </c>
      <c r="M10" t="s">
        <v>16</v>
      </c>
      <c r="N10" t="s">
        <v>16</v>
      </c>
      <c r="O10" t="s">
        <v>16</v>
      </c>
      <c r="P10" t="s">
        <v>16</v>
      </c>
      <c r="Q10" t="s">
        <v>16</v>
      </c>
      <c r="R10" t="s">
        <v>16</v>
      </c>
      <c r="S10" t="s">
        <v>16</v>
      </c>
      <c r="T10" t="s">
        <v>16</v>
      </c>
      <c r="U10" t="s">
        <v>16</v>
      </c>
      <c r="Y10" t="s">
        <v>699</v>
      </c>
      <c r="Z10" s="24">
        <v>320</v>
      </c>
      <c r="AA10" s="118">
        <f t="shared" si="0"/>
        <v>4.9194388088685798E-5</v>
      </c>
      <c r="AB10" t="s">
        <v>31</v>
      </c>
    </row>
    <row r="11" spans="1:37" x14ac:dyDescent="0.2">
      <c r="A11" t="s">
        <v>15</v>
      </c>
      <c r="B11" t="s">
        <v>7</v>
      </c>
      <c r="C11" t="s">
        <v>377</v>
      </c>
      <c r="D11">
        <v>59562</v>
      </c>
      <c r="E11" t="s">
        <v>16</v>
      </c>
      <c r="F11">
        <v>243</v>
      </c>
      <c r="G11">
        <v>113</v>
      </c>
      <c r="H11">
        <v>144</v>
      </c>
      <c r="I11">
        <v>12</v>
      </c>
      <c r="J11">
        <v>87</v>
      </c>
      <c r="K11">
        <v>472</v>
      </c>
      <c r="L11">
        <v>2142</v>
      </c>
      <c r="M11">
        <v>498</v>
      </c>
      <c r="N11">
        <v>494</v>
      </c>
      <c r="O11">
        <v>842</v>
      </c>
      <c r="P11">
        <v>940</v>
      </c>
      <c r="Q11">
        <v>1302</v>
      </c>
      <c r="R11">
        <v>829</v>
      </c>
      <c r="S11">
        <v>979</v>
      </c>
      <c r="T11">
        <v>564</v>
      </c>
      <c r="U11">
        <v>4147</v>
      </c>
      <c r="X11" s="299"/>
      <c r="Y11" t="s">
        <v>672</v>
      </c>
      <c r="Z11" s="24">
        <v>101</v>
      </c>
      <c r="AA11" s="118">
        <f t="shared" si="0"/>
        <v>1.5526978740491455E-5</v>
      </c>
      <c r="AB11" t="s">
        <v>265</v>
      </c>
      <c r="AC11" s="299"/>
      <c r="AD11" s="299"/>
      <c r="AE11" s="299"/>
      <c r="AF11" s="213"/>
      <c r="AG11" s="213"/>
      <c r="AH11" s="213"/>
      <c r="AI11" s="213"/>
      <c r="AJ11" s="213"/>
      <c r="AK11" s="213"/>
    </row>
    <row r="12" spans="1:37" x14ac:dyDescent="0.2">
      <c r="Y12" t="s">
        <v>683</v>
      </c>
      <c r="Z12" s="24">
        <v>88</v>
      </c>
      <c r="AA12" s="118">
        <f t="shared" si="0"/>
        <v>1.3528456724388594E-5</v>
      </c>
      <c r="AB12" t="s">
        <v>65</v>
      </c>
    </row>
    <row r="13" spans="1:37" x14ac:dyDescent="0.2">
      <c r="Y13" t="s">
        <v>662</v>
      </c>
      <c r="Z13" s="24">
        <v>43</v>
      </c>
      <c r="AA13" s="118">
        <f t="shared" si="0"/>
        <v>6.6104958994171545E-6</v>
      </c>
      <c r="AB13" t="s">
        <v>248</v>
      </c>
    </row>
    <row r="14" spans="1:37" s="1" customFormat="1" x14ac:dyDescent="0.2">
      <c r="A14" s="1" t="s">
        <v>4</v>
      </c>
      <c r="B14" s="1" t="s">
        <v>5</v>
      </c>
      <c r="C14" s="1" t="s">
        <v>6</v>
      </c>
      <c r="D14" s="1">
        <v>2001</v>
      </c>
      <c r="E14" s="1">
        <v>2002</v>
      </c>
      <c r="F14" s="1">
        <v>2003</v>
      </c>
      <c r="G14" s="1">
        <v>2004</v>
      </c>
      <c r="H14" s="1">
        <v>2005</v>
      </c>
      <c r="I14" s="1">
        <v>2006</v>
      </c>
      <c r="J14" s="1">
        <v>2007</v>
      </c>
      <c r="K14" s="1">
        <v>2008</v>
      </c>
      <c r="L14" s="1">
        <v>2009</v>
      </c>
      <c r="M14" s="1">
        <v>2010</v>
      </c>
      <c r="N14" s="1">
        <v>2011</v>
      </c>
      <c r="O14" s="1">
        <v>2012</v>
      </c>
      <c r="P14" s="1">
        <v>2013</v>
      </c>
      <c r="Q14" s="1">
        <v>2014</v>
      </c>
      <c r="R14" s="1">
        <v>2015</v>
      </c>
      <c r="S14" s="1">
        <v>2016</v>
      </c>
      <c r="T14" s="1">
        <v>2017</v>
      </c>
      <c r="U14" s="1">
        <v>2018</v>
      </c>
      <c r="V14" t="s">
        <v>378</v>
      </c>
      <c r="W14" s="1" t="s">
        <v>154</v>
      </c>
      <c r="Y14" t="s">
        <v>690</v>
      </c>
      <c r="Z14" s="24">
        <v>6</v>
      </c>
      <c r="AA14" s="118">
        <f t="shared" si="0"/>
        <v>9.2239477666285871E-7</v>
      </c>
      <c r="AB14" t="s">
        <v>246</v>
      </c>
    </row>
    <row r="15" spans="1:37" ht="17" x14ac:dyDescent="0.2">
      <c r="A15" t="s">
        <v>101</v>
      </c>
      <c r="B15" t="s">
        <v>7</v>
      </c>
      <c r="C15" t="s">
        <v>379</v>
      </c>
      <c r="D15" t="s">
        <v>16</v>
      </c>
      <c r="E15" t="s">
        <v>16</v>
      </c>
      <c r="F15" t="s">
        <v>16</v>
      </c>
      <c r="G15" t="s">
        <v>16</v>
      </c>
      <c r="H15" t="s">
        <v>16</v>
      </c>
      <c r="I15" t="s">
        <v>16</v>
      </c>
      <c r="J15" t="s">
        <v>16</v>
      </c>
      <c r="K15" t="s">
        <v>16</v>
      </c>
      <c r="L15" t="s">
        <v>16</v>
      </c>
      <c r="M15" t="s">
        <v>16</v>
      </c>
      <c r="N15" t="s">
        <v>16</v>
      </c>
      <c r="O15" t="s">
        <v>16</v>
      </c>
      <c r="P15" t="s">
        <v>16</v>
      </c>
      <c r="Q15" t="s">
        <v>16</v>
      </c>
      <c r="R15" t="s">
        <v>16</v>
      </c>
      <c r="S15" t="s">
        <v>16</v>
      </c>
      <c r="T15" t="s">
        <v>16</v>
      </c>
      <c r="U15">
        <v>22</v>
      </c>
      <c r="V15" s="44">
        <f>U15/$U$30</f>
        <v>3.3189286799941766E-6</v>
      </c>
      <c r="W15" s="45" t="s">
        <v>246</v>
      </c>
      <c r="Z15" s="300">
        <f>SUM(Z6:Z14)</f>
        <v>6504807</v>
      </c>
    </row>
    <row r="16" spans="1:37" x14ac:dyDescent="0.2">
      <c r="A16" t="s">
        <v>32</v>
      </c>
      <c r="B16" t="s">
        <v>7</v>
      </c>
      <c r="C16" t="s">
        <v>380</v>
      </c>
      <c r="D16">
        <v>368</v>
      </c>
      <c r="E16">
        <v>141</v>
      </c>
      <c r="F16">
        <v>356</v>
      </c>
      <c r="G16">
        <v>851</v>
      </c>
      <c r="H16">
        <v>205</v>
      </c>
      <c r="I16">
        <v>37819</v>
      </c>
      <c r="J16">
        <v>438</v>
      </c>
      <c r="K16">
        <v>30581</v>
      </c>
      <c r="L16">
        <v>76166</v>
      </c>
      <c r="M16">
        <v>47298</v>
      </c>
      <c r="N16">
        <v>2409</v>
      </c>
      <c r="O16">
        <v>214</v>
      </c>
      <c r="P16">
        <v>129</v>
      </c>
      <c r="Q16">
        <v>6343</v>
      </c>
      <c r="R16">
        <v>77997</v>
      </c>
      <c r="S16">
        <v>408</v>
      </c>
      <c r="T16">
        <v>411</v>
      </c>
      <c r="U16">
        <v>307</v>
      </c>
      <c r="V16" s="44">
        <f>U16/$U$30</f>
        <v>4.6314141125373287E-5</v>
      </c>
      <c r="W16" s="43" t="s">
        <v>31</v>
      </c>
    </row>
    <row r="17" spans="1:27" x14ac:dyDescent="0.2">
      <c r="A17" t="s">
        <v>37</v>
      </c>
      <c r="B17" t="s">
        <v>7</v>
      </c>
      <c r="C17" t="s">
        <v>381</v>
      </c>
      <c r="D17" t="s">
        <v>16</v>
      </c>
      <c r="E17" t="s">
        <v>16</v>
      </c>
      <c r="F17" t="s">
        <v>16</v>
      </c>
      <c r="G17" t="s">
        <v>16</v>
      </c>
      <c r="H17" t="s">
        <v>16</v>
      </c>
      <c r="I17">
        <v>23</v>
      </c>
      <c r="J17">
        <v>44</v>
      </c>
      <c r="K17" t="s">
        <v>16</v>
      </c>
      <c r="L17">
        <v>330</v>
      </c>
      <c r="M17">
        <v>798272</v>
      </c>
      <c r="N17">
        <v>173086</v>
      </c>
      <c r="O17">
        <v>560404</v>
      </c>
      <c r="P17">
        <v>349222</v>
      </c>
      <c r="Q17">
        <v>184783</v>
      </c>
      <c r="R17">
        <v>553</v>
      </c>
      <c r="S17">
        <v>17650</v>
      </c>
      <c r="T17">
        <v>173263</v>
      </c>
      <c r="U17">
        <v>368541</v>
      </c>
      <c r="V17" s="44">
        <f>U17/$U$30</f>
        <v>5.5598240666078817E-2</v>
      </c>
      <c r="W17" s="43" t="s">
        <v>36</v>
      </c>
      <c r="Z17" t="s">
        <v>148</v>
      </c>
      <c r="AA17" s="118">
        <f>+SUMIF($AB$6:$AB$14,Z17,$AA$6:$AA$14)</f>
        <v>0</v>
      </c>
    </row>
    <row r="18" spans="1:27" x14ac:dyDescent="0.2">
      <c r="A18" t="s">
        <v>66</v>
      </c>
      <c r="B18" t="s">
        <v>7</v>
      </c>
      <c r="C18" t="s">
        <v>382</v>
      </c>
      <c r="D18" t="s">
        <v>16</v>
      </c>
      <c r="E18">
        <v>535</v>
      </c>
      <c r="F18" t="s">
        <v>16</v>
      </c>
      <c r="G18" t="s">
        <v>16</v>
      </c>
      <c r="H18" t="s">
        <v>16</v>
      </c>
      <c r="I18" t="s">
        <v>16</v>
      </c>
      <c r="J18" t="s">
        <v>16</v>
      </c>
      <c r="K18" t="s">
        <v>16</v>
      </c>
      <c r="L18" t="s">
        <v>16</v>
      </c>
      <c r="M18" t="s">
        <v>16</v>
      </c>
      <c r="N18">
        <v>22</v>
      </c>
      <c r="O18" t="s">
        <v>16</v>
      </c>
      <c r="P18" t="s">
        <v>16</v>
      </c>
      <c r="Q18">
        <v>20</v>
      </c>
      <c r="R18">
        <v>120</v>
      </c>
      <c r="S18">
        <v>132</v>
      </c>
      <c r="T18">
        <v>396</v>
      </c>
      <c r="U18">
        <v>451</v>
      </c>
      <c r="V18" s="44">
        <f>U18/$U$30</f>
        <v>6.8038037939880622E-5</v>
      </c>
      <c r="W18" s="43" t="s">
        <v>65</v>
      </c>
      <c r="Z18" t="s">
        <v>265</v>
      </c>
      <c r="AA18" s="118">
        <f t="shared" ref="AA18:AA30" si="1">+SUMIF($AB$6:$AB$14,Z18,$AA$6:$AA$14)</f>
        <v>1.5526978740491455E-5</v>
      </c>
    </row>
    <row r="19" spans="1:27" x14ac:dyDescent="0.2">
      <c r="A19" t="s">
        <v>78</v>
      </c>
      <c r="B19" t="s">
        <v>7</v>
      </c>
      <c r="C19" t="s">
        <v>383</v>
      </c>
      <c r="D19">
        <v>147</v>
      </c>
      <c r="E19">
        <v>49</v>
      </c>
      <c r="F19">
        <v>47</v>
      </c>
      <c r="G19">
        <v>282</v>
      </c>
      <c r="H19" t="s">
        <v>16</v>
      </c>
      <c r="I19" t="s">
        <v>16</v>
      </c>
      <c r="J19" t="s">
        <v>16</v>
      </c>
      <c r="K19" t="s">
        <v>16</v>
      </c>
      <c r="L19">
        <v>2733</v>
      </c>
      <c r="M19" t="s">
        <v>16</v>
      </c>
      <c r="N19">
        <v>14920</v>
      </c>
      <c r="O19">
        <v>20</v>
      </c>
      <c r="P19">
        <v>181376</v>
      </c>
      <c r="Q19">
        <v>329083</v>
      </c>
      <c r="R19">
        <v>787510</v>
      </c>
      <c r="S19">
        <v>76974</v>
      </c>
      <c r="T19">
        <v>140204</v>
      </c>
      <c r="U19">
        <v>299394</v>
      </c>
      <c r="V19" s="44">
        <f>U19/$U$30</f>
        <v>4.5166696964462572E-2</v>
      </c>
      <c r="W19" s="43" t="s">
        <v>77</v>
      </c>
      <c r="Z19" t="s">
        <v>26</v>
      </c>
      <c r="AA19" s="118">
        <f t="shared" si="1"/>
        <v>0</v>
      </c>
    </row>
    <row r="20" spans="1:27" x14ac:dyDescent="0.2">
      <c r="V20" s="46"/>
      <c r="W20" s="43"/>
      <c r="Z20" t="s">
        <v>36</v>
      </c>
      <c r="AA20" s="118">
        <f t="shared" si="1"/>
        <v>1.2898153627002309E-4</v>
      </c>
    </row>
    <row r="21" spans="1:27" x14ac:dyDescent="0.2">
      <c r="V21" s="46"/>
      <c r="W21" s="43"/>
      <c r="Z21" t="s">
        <v>65</v>
      </c>
      <c r="AA21" s="118">
        <f t="shared" si="1"/>
        <v>1.3528456724388594E-5</v>
      </c>
    </row>
    <row r="22" spans="1:27" ht="17" x14ac:dyDescent="0.2">
      <c r="A22" t="s">
        <v>129</v>
      </c>
      <c r="B22" t="s">
        <v>7</v>
      </c>
      <c r="C22" t="s">
        <v>384</v>
      </c>
      <c r="D22">
        <v>133</v>
      </c>
      <c r="E22">
        <v>58</v>
      </c>
      <c r="F22">
        <v>38</v>
      </c>
      <c r="G22">
        <v>604</v>
      </c>
      <c r="H22">
        <v>142</v>
      </c>
      <c r="I22" t="s">
        <v>16</v>
      </c>
      <c r="J22" t="s">
        <v>16</v>
      </c>
      <c r="K22" t="s">
        <v>16</v>
      </c>
      <c r="L22" t="s">
        <v>16</v>
      </c>
      <c r="M22" t="s">
        <v>16</v>
      </c>
      <c r="N22" t="s">
        <v>16</v>
      </c>
      <c r="O22">
        <v>638</v>
      </c>
      <c r="P22">
        <v>86</v>
      </c>
      <c r="Q22">
        <v>366</v>
      </c>
      <c r="R22">
        <v>384</v>
      </c>
      <c r="S22">
        <v>572</v>
      </c>
      <c r="T22">
        <v>617</v>
      </c>
      <c r="U22">
        <v>526</v>
      </c>
      <c r="V22" s="46">
        <f>U22/$U$30</f>
        <v>7.9352567530769865E-5</v>
      </c>
      <c r="W22" s="45" t="s">
        <v>283</v>
      </c>
      <c r="Z22" t="s">
        <v>267</v>
      </c>
      <c r="AA22" s="118">
        <f t="shared" si="1"/>
        <v>0</v>
      </c>
    </row>
    <row r="23" spans="1:27" ht="17" x14ac:dyDescent="0.2">
      <c r="A23" t="s">
        <v>145</v>
      </c>
      <c r="B23" t="s">
        <v>7</v>
      </c>
      <c r="C23" t="s">
        <v>385</v>
      </c>
      <c r="D23" t="s">
        <v>16</v>
      </c>
      <c r="E23" t="s">
        <v>16</v>
      </c>
      <c r="F23" t="s">
        <v>16</v>
      </c>
      <c r="G23" t="s">
        <v>16</v>
      </c>
      <c r="H23" t="s">
        <v>16</v>
      </c>
      <c r="I23" t="s">
        <v>16</v>
      </c>
      <c r="J23" t="s">
        <v>16</v>
      </c>
      <c r="K23" t="s">
        <v>16</v>
      </c>
      <c r="L23" t="s">
        <v>16</v>
      </c>
      <c r="M23" t="s">
        <v>16</v>
      </c>
      <c r="N23" t="s">
        <v>16</v>
      </c>
      <c r="O23" t="s">
        <v>16</v>
      </c>
      <c r="P23" t="s">
        <v>16</v>
      </c>
      <c r="Q23" t="s">
        <v>16</v>
      </c>
      <c r="R23" t="s">
        <v>16</v>
      </c>
      <c r="S23">
        <v>84</v>
      </c>
      <c r="T23" t="s">
        <v>16</v>
      </c>
      <c r="U23">
        <v>155</v>
      </c>
      <c r="V23" s="46">
        <f>U23/$U$30</f>
        <v>2.3383361154504428E-5</v>
      </c>
      <c r="W23" s="45" t="s">
        <v>283</v>
      </c>
      <c r="Z23" t="s">
        <v>266</v>
      </c>
      <c r="AA23" s="118">
        <f t="shared" si="1"/>
        <v>0.80763626038405134</v>
      </c>
    </row>
    <row r="24" spans="1:27" x14ac:dyDescent="0.2">
      <c r="V24" s="44">
        <f>SUM(V22:V23)</f>
        <v>1.027359286852743E-4</v>
      </c>
      <c r="W24" s="45"/>
      <c r="Z24" t="s">
        <v>77</v>
      </c>
      <c r="AA24" s="118">
        <f t="shared" si="1"/>
        <v>0.19209178688929587</v>
      </c>
    </row>
    <row r="25" spans="1:27" x14ac:dyDescent="0.2">
      <c r="V25" s="46"/>
      <c r="W25" s="45"/>
      <c r="Z25" t="s">
        <v>246</v>
      </c>
      <c r="AA25" s="118">
        <f t="shared" si="1"/>
        <v>9.2239477666285871E-7</v>
      </c>
    </row>
    <row r="26" spans="1:27" x14ac:dyDescent="0.2">
      <c r="A26" t="s">
        <v>256</v>
      </c>
      <c r="B26" t="s">
        <v>7</v>
      </c>
      <c r="C26" t="s">
        <v>386</v>
      </c>
      <c r="D26">
        <v>40</v>
      </c>
      <c r="E26">
        <v>44</v>
      </c>
      <c r="F26">
        <v>88</v>
      </c>
      <c r="G26">
        <v>45</v>
      </c>
      <c r="H26">
        <v>46</v>
      </c>
      <c r="I26">
        <v>22</v>
      </c>
      <c r="J26" t="s">
        <v>16</v>
      </c>
      <c r="K26" t="s">
        <v>16</v>
      </c>
      <c r="L26">
        <v>26929</v>
      </c>
      <c r="M26">
        <v>116271</v>
      </c>
      <c r="N26">
        <v>333204</v>
      </c>
      <c r="O26">
        <v>167011</v>
      </c>
      <c r="P26">
        <v>149366</v>
      </c>
      <c r="Q26">
        <v>22</v>
      </c>
      <c r="R26">
        <v>84</v>
      </c>
      <c r="S26">
        <v>85</v>
      </c>
      <c r="T26">
        <v>42</v>
      </c>
      <c r="U26">
        <v>85</v>
      </c>
      <c r="V26" s="44">
        <f>U26/$U$30</f>
        <v>1.2823133536341138E-5</v>
      </c>
      <c r="W26" s="43" t="s">
        <v>387</v>
      </c>
      <c r="Z26" t="s">
        <v>153</v>
      </c>
      <c r="AA26" s="118">
        <f t="shared" si="1"/>
        <v>5.7188476153097238E-5</v>
      </c>
    </row>
    <row r="27" spans="1:27" x14ac:dyDescent="0.2">
      <c r="V27" s="46"/>
      <c r="W27" s="43"/>
      <c r="Z27" t="s">
        <v>248</v>
      </c>
      <c r="AA27" s="118">
        <f t="shared" si="1"/>
        <v>6.6104958994171545E-6</v>
      </c>
    </row>
    <row r="28" spans="1:27" x14ac:dyDescent="0.2">
      <c r="V28" s="46"/>
      <c r="W28" s="43"/>
      <c r="Z28" t="s">
        <v>86</v>
      </c>
      <c r="AA28" s="118">
        <f t="shared" si="1"/>
        <v>0</v>
      </c>
    </row>
    <row r="29" spans="1:27" x14ac:dyDescent="0.2">
      <c r="A29" t="s">
        <v>120</v>
      </c>
      <c r="B29" t="s">
        <v>7</v>
      </c>
      <c r="C29" t="s">
        <v>388</v>
      </c>
      <c r="D29" t="s">
        <v>16</v>
      </c>
      <c r="E29">
        <v>2289</v>
      </c>
      <c r="F29">
        <v>1084</v>
      </c>
      <c r="G29">
        <v>2039</v>
      </c>
      <c r="H29">
        <v>214</v>
      </c>
      <c r="I29">
        <v>200</v>
      </c>
      <c r="J29" t="s">
        <v>16</v>
      </c>
      <c r="K29" t="s">
        <v>16</v>
      </c>
      <c r="L29">
        <v>139028</v>
      </c>
      <c r="M29">
        <v>2538363</v>
      </c>
      <c r="N29">
        <v>4340020</v>
      </c>
      <c r="O29">
        <v>3768597</v>
      </c>
      <c r="P29">
        <v>3446091</v>
      </c>
      <c r="Q29">
        <v>3566905</v>
      </c>
      <c r="R29">
        <v>3169950</v>
      </c>
      <c r="S29">
        <v>915472</v>
      </c>
      <c r="T29">
        <v>5349313</v>
      </c>
      <c r="U29">
        <v>5959164</v>
      </c>
      <c r="V29" s="44">
        <f>U29/$U$30</f>
        <v>0.8990018321994917</v>
      </c>
      <c r="W29" s="43" t="s">
        <v>389</v>
      </c>
      <c r="Z29" t="s">
        <v>191</v>
      </c>
      <c r="AA29" s="118">
        <f t="shared" si="1"/>
        <v>0</v>
      </c>
    </row>
    <row r="30" spans="1:27" x14ac:dyDescent="0.2">
      <c r="U30">
        <f>SUM(U15:U29)</f>
        <v>6628645</v>
      </c>
      <c r="W30" s="43"/>
      <c r="Z30" t="s">
        <v>31</v>
      </c>
      <c r="AA30" s="118">
        <f t="shared" si="1"/>
        <v>4.9194388088685798E-5</v>
      </c>
    </row>
    <row r="31" spans="1:27" x14ac:dyDescent="0.2">
      <c r="AA31" s="297">
        <f>SUM(AA17:AA30)</f>
        <v>1</v>
      </c>
    </row>
    <row r="44" ht="21" customHeight="1" x14ac:dyDescent="0.2"/>
  </sheetData>
  <sortState xmlns:xlrd2="http://schemas.microsoft.com/office/spreadsheetml/2017/richdata2" ref="Y6:Z14">
    <sortCondition descending="1" ref="Z6:Z14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AJ53"/>
  <sheetViews>
    <sheetView workbookViewId="0">
      <selection activeCell="Y6" sqref="Y6:AB6"/>
    </sheetView>
  </sheetViews>
  <sheetFormatPr baseColWidth="10" defaultColWidth="11" defaultRowHeight="16" x14ac:dyDescent="0.2"/>
  <cols>
    <col min="1" max="1" width="36.33203125" customWidth="1"/>
    <col min="2" max="2" width="18" customWidth="1"/>
    <col min="4" max="20" width="0" hidden="1" customWidth="1"/>
    <col min="22" max="22" width="14.1640625" customWidth="1"/>
    <col min="23" max="23" width="26.83203125" customWidth="1"/>
    <col min="25" max="25" width="20" bestFit="1" customWidth="1"/>
    <col min="26" max="26" width="10.33203125" bestFit="1" customWidth="1"/>
    <col min="27" max="27" width="7" bestFit="1" customWidth="1"/>
    <col min="28" max="28" width="11.83203125" bestFit="1" customWidth="1"/>
  </cols>
  <sheetData>
    <row r="1" spans="1:36" x14ac:dyDescent="0.2">
      <c r="A1" s="1" t="s">
        <v>338</v>
      </c>
    </row>
    <row r="2" spans="1:36" x14ac:dyDescent="0.2">
      <c r="A2" t="s">
        <v>339</v>
      </c>
    </row>
    <row r="3" spans="1:36" x14ac:dyDescent="0.2">
      <c r="A3" t="s">
        <v>340</v>
      </c>
    </row>
    <row r="4" spans="1:36" x14ac:dyDescent="0.2">
      <c r="A4" t="s">
        <v>3</v>
      </c>
    </row>
    <row r="5" spans="1:36" x14ac:dyDescent="0.2">
      <c r="A5" t="s">
        <v>4</v>
      </c>
      <c r="B5" t="s">
        <v>5</v>
      </c>
      <c r="C5" t="s">
        <v>6</v>
      </c>
      <c r="D5">
        <v>2001</v>
      </c>
      <c r="E5">
        <v>2002</v>
      </c>
      <c r="F5">
        <v>2003</v>
      </c>
      <c r="G5">
        <v>2004</v>
      </c>
      <c r="H5">
        <v>2005</v>
      </c>
      <c r="I5">
        <v>2006</v>
      </c>
      <c r="J5">
        <v>2007</v>
      </c>
      <c r="K5">
        <v>2008</v>
      </c>
      <c r="L5">
        <v>2009</v>
      </c>
      <c r="M5">
        <v>2010</v>
      </c>
      <c r="N5">
        <v>2011</v>
      </c>
      <c r="O5">
        <v>2012</v>
      </c>
      <c r="P5">
        <v>2013</v>
      </c>
      <c r="Q5">
        <v>2014</v>
      </c>
      <c r="R5">
        <v>2015</v>
      </c>
      <c r="S5">
        <v>2016</v>
      </c>
      <c r="T5">
        <v>2017</v>
      </c>
      <c r="U5">
        <v>2018</v>
      </c>
    </row>
    <row r="6" spans="1:36" x14ac:dyDescent="0.2">
      <c r="A6" t="s">
        <v>338</v>
      </c>
      <c r="B6" t="s">
        <v>7</v>
      </c>
      <c r="Y6" s="291" t="s">
        <v>841</v>
      </c>
      <c r="Z6" s="292" t="s">
        <v>709</v>
      </c>
      <c r="AA6" s="292" t="s">
        <v>710</v>
      </c>
      <c r="AB6" s="292" t="s">
        <v>711</v>
      </c>
    </row>
    <row r="7" spans="1:36" x14ac:dyDescent="0.2">
      <c r="A7" t="s">
        <v>8</v>
      </c>
      <c r="C7" t="s">
        <v>9</v>
      </c>
      <c r="Y7" t="s">
        <v>698</v>
      </c>
      <c r="Z7" s="24">
        <v>305927</v>
      </c>
      <c r="AA7" s="118">
        <f>+Z7/$Z$32</f>
        <v>0.47212268242019068</v>
      </c>
      <c r="AB7" t="s">
        <v>246</v>
      </c>
    </row>
    <row r="8" spans="1:36" x14ac:dyDescent="0.2">
      <c r="A8" t="s">
        <v>10</v>
      </c>
      <c r="B8" t="s">
        <v>7</v>
      </c>
      <c r="C8" t="s">
        <v>341</v>
      </c>
      <c r="D8">
        <v>87481</v>
      </c>
      <c r="E8">
        <v>135534</v>
      </c>
      <c r="F8">
        <v>91552</v>
      </c>
      <c r="G8">
        <v>170254</v>
      </c>
      <c r="H8">
        <v>138942</v>
      </c>
      <c r="I8">
        <v>179797</v>
      </c>
      <c r="J8">
        <v>220387</v>
      </c>
      <c r="K8">
        <v>246401</v>
      </c>
      <c r="L8">
        <v>203790</v>
      </c>
      <c r="M8">
        <v>134730</v>
      </c>
      <c r="N8">
        <v>545983</v>
      </c>
      <c r="O8">
        <v>2509134</v>
      </c>
      <c r="P8">
        <v>3256746</v>
      </c>
      <c r="Q8">
        <v>2125800</v>
      </c>
      <c r="R8">
        <v>535260</v>
      </c>
      <c r="S8">
        <v>56878</v>
      </c>
      <c r="T8">
        <v>399920</v>
      </c>
      <c r="U8">
        <v>907459</v>
      </c>
      <c r="Y8" t="s">
        <v>723</v>
      </c>
      <c r="Z8" s="24">
        <v>279561</v>
      </c>
      <c r="AA8" s="118">
        <f t="shared" ref="AA8:AA31" si="0">+Z8/$Z$32</f>
        <v>0.43143328055408947</v>
      </c>
      <c r="AB8" t="s">
        <v>246</v>
      </c>
    </row>
    <row r="9" spans="1:36" x14ac:dyDescent="0.2">
      <c r="A9" t="s">
        <v>12</v>
      </c>
      <c r="B9" t="s">
        <v>7</v>
      </c>
      <c r="C9" t="s">
        <v>342</v>
      </c>
      <c r="D9">
        <v>87481</v>
      </c>
      <c r="E9">
        <v>135534</v>
      </c>
      <c r="F9">
        <v>91552</v>
      </c>
      <c r="G9">
        <v>170254</v>
      </c>
      <c r="H9">
        <v>138942</v>
      </c>
      <c r="I9">
        <v>179797</v>
      </c>
      <c r="J9">
        <v>220387</v>
      </c>
      <c r="K9">
        <v>246401</v>
      </c>
      <c r="L9">
        <v>203790</v>
      </c>
      <c r="M9">
        <v>134730</v>
      </c>
      <c r="N9">
        <v>127512</v>
      </c>
      <c r="O9">
        <v>2018095</v>
      </c>
      <c r="P9">
        <v>3256746</v>
      </c>
      <c r="Q9">
        <v>1281617</v>
      </c>
      <c r="R9">
        <v>535251</v>
      </c>
      <c r="S9">
        <v>56878</v>
      </c>
      <c r="T9">
        <v>399920</v>
      </c>
      <c r="U9">
        <v>907374</v>
      </c>
      <c r="Y9" t="s">
        <v>657</v>
      </c>
      <c r="Z9" s="24">
        <v>59025</v>
      </c>
      <c r="AA9" s="118">
        <f t="shared" si="0"/>
        <v>9.1090493254442254E-2</v>
      </c>
      <c r="AB9" t="s">
        <v>265</v>
      </c>
    </row>
    <row r="10" spans="1:36" x14ac:dyDescent="0.2">
      <c r="A10" t="s">
        <v>14</v>
      </c>
      <c r="B10" t="s">
        <v>7</v>
      </c>
      <c r="C10" t="s">
        <v>343</v>
      </c>
      <c r="D10" t="s">
        <v>16</v>
      </c>
      <c r="E10" t="s">
        <v>16</v>
      </c>
      <c r="F10" t="s">
        <v>16</v>
      </c>
      <c r="G10" t="s">
        <v>16</v>
      </c>
      <c r="H10" t="s">
        <v>16</v>
      </c>
      <c r="I10" t="s">
        <v>16</v>
      </c>
      <c r="J10" t="s">
        <v>16</v>
      </c>
      <c r="K10" t="s">
        <v>16</v>
      </c>
      <c r="L10" t="s">
        <v>16</v>
      </c>
      <c r="M10" t="s">
        <v>16</v>
      </c>
      <c r="N10">
        <v>418471</v>
      </c>
      <c r="O10">
        <v>491039</v>
      </c>
      <c r="P10" t="s">
        <v>16</v>
      </c>
      <c r="Q10">
        <v>844183</v>
      </c>
      <c r="R10">
        <v>9</v>
      </c>
      <c r="S10" t="s">
        <v>16</v>
      </c>
      <c r="T10" t="s">
        <v>16</v>
      </c>
      <c r="U10">
        <v>85</v>
      </c>
      <c r="Y10" t="s">
        <v>672</v>
      </c>
      <c r="Z10" s="24">
        <v>1102</v>
      </c>
      <c r="AA10" s="118">
        <f t="shared" si="0"/>
        <v>1.700664524631857E-3</v>
      </c>
      <c r="AB10" t="s">
        <v>265</v>
      </c>
    </row>
    <row r="11" spans="1:36" x14ac:dyDescent="0.2">
      <c r="A11" t="s">
        <v>15</v>
      </c>
      <c r="B11" t="s">
        <v>7</v>
      </c>
      <c r="C11" t="s">
        <v>344</v>
      </c>
      <c r="D11">
        <v>227</v>
      </c>
      <c r="E11">
        <v>14537</v>
      </c>
      <c r="F11">
        <v>615</v>
      </c>
      <c r="G11">
        <v>41319</v>
      </c>
      <c r="H11">
        <v>35387</v>
      </c>
      <c r="I11">
        <v>113748</v>
      </c>
      <c r="J11">
        <v>175910</v>
      </c>
      <c r="K11">
        <v>5001</v>
      </c>
      <c r="L11">
        <v>4452</v>
      </c>
      <c r="M11">
        <v>2212</v>
      </c>
      <c r="N11">
        <v>1914</v>
      </c>
      <c r="O11">
        <v>1568</v>
      </c>
      <c r="P11">
        <v>592</v>
      </c>
      <c r="Q11">
        <v>1314</v>
      </c>
      <c r="R11">
        <v>227</v>
      </c>
      <c r="S11" t="s">
        <v>16</v>
      </c>
      <c r="T11">
        <v>15134</v>
      </c>
      <c r="U11">
        <v>30605</v>
      </c>
      <c r="W11" s="299"/>
      <c r="X11" s="299"/>
      <c r="Y11" t="s">
        <v>662</v>
      </c>
      <c r="Z11" s="24">
        <v>996</v>
      </c>
      <c r="AA11" s="118">
        <f t="shared" si="0"/>
        <v>1.5370797336963064E-3</v>
      </c>
      <c r="AB11" t="s">
        <v>248</v>
      </c>
      <c r="AC11" s="299"/>
      <c r="AD11" s="299"/>
      <c r="AE11" s="213"/>
      <c r="AF11" s="213"/>
      <c r="AG11" s="213"/>
      <c r="AH11" s="213"/>
      <c r="AI11" s="213"/>
      <c r="AJ11" s="213"/>
    </row>
    <row r="12" spans="1:36" x14ac:dyDescent="0.2">
      <c r="Y12" t="s">
        <v>652</v>
      </c>
      <c r="Z12" s="24">
        <v>332</v>
      </c>
      <c r="AA12" s="118">
        <f t="shared" si="0"/>
        <v>5.1235991123210214E-4</v>
      </c>
      <c r="AB12" t="s">
        <v>265</v>
      </c>
    </row>
    <row r="13" spans="1:36" x14ac:dyDescent="0.2">
      <c r="Y13" t="s">
        <v>817</v>
      </c>
      <c r="Z13" s="24">
        <v>259</v>
      </c>
      <c r="AA13" s="118">
        <f t="shared" si="0"/>
        <v>3.9970246087082668E-4</v>
      </c>
      <c r="AB13" t="s">
        <v>246</v>
      </c>
    </row>
    <row r="14" spans="1:36" x14ac:dyDescent="0.2">
      <c r="A14" s="1" t="s">
        <v>4</v>
      </c>
      <c r="B14" s="1" t="s">
        <v>5</v>
      </c>
      <c r="C14" s="1" t="s">
        <v>6</v>
      </c>
      <c r="D14" s="1">
        <v>2001</v>
      </c>
      <c r="E14" s="1">
        <v>2002</v>
      </c>
      <c r="F14" s="1">
        <v>2003</v>
      </c>
      <c r="G14" s="1">
        <v>2004</v>
      </c>
      <c r="H14" s="1">
        <v>2005</v>
      </c>
      <c r="I14" s="1">
        <v>2006</v>
      </c>
      <c r="J14" s="1">
        <v>2007</v>
      </c>
      <c r="K14" s="1">
        <v>2008</v>
      </c>
      <c r="L14" s="1">
        <v>2009</v>
      </c>
      <c r="M14" s="1">
        <v>2010</v>
      </c>
      <c r="N14" s="1">
        <v>2011</v>
      </c>
      <c r="O14" s="1">
        <v>2012</v>
      </c>
      <c r="P14" s="1">
        <v>2013</v>
      </c>
      <c r="Q14" s="1">
        <v>2014</v>
      </c>
      <c r="R14" s="1">
        <v>2015</v>
      </c>
      <c r="S14" s="1">
        <v>2016</v>
      </c>
      <c r="T14" s="1">
        <v>2017</v>
      </c>
      <c r="U14" s="1">
        <v>2018</v>
      </c>
      <c r="V14" s="1" t="s">
        <v>345</v>
      </c>
      <c r="W14" s="1" t="s">
        <v>346</v>
      </c>
      <c r="Y14" t="s">
        <v>689</v>
      </c>
      <c r="Z14" s="24">
        <v>176</v>
      </c>
      <c r="AA14" s="118">
        <f t="shared" si="0"/>
        <v>2.7161248306280115E-4</v>
      </c>
      <c r="AB14" t="s">
        <v>148</v>
      </c>
    </row>
    <row r="15" spans="1:36" ht="17" x14ac:dyDescent="0.2">
      <c r="A15" t="s">
        <v>53</v>
      </c>
      <c r="B15" t="s">
        <v>7</v>
      </c>
      <c r="C15" t="s">
        <v>347</v>
      </c>
      <c r="D15">
        <v>751</v>
      </c>
      <c r="E15">
        <v>3363</v>
      </c>
      <c r="F15">
        <v>4650</v>
      </c>
      <c r="G15">
        <v>8285</v>
      </c>
      <c r="H15">
        <v>1423</v>
      </c>
      <c r="I15">
        <v>8067</v>
      </c>
      <c r="J15">
        <v>25200</v>
      </c>
      <c r="K15">
        <v>16099</v>
      </c>
      <c r="L15">
        <v>7980</v>
      </c>
      <c r="M15">
        <v>5225</v>
      </c>
      <c r="N15">
        <v>7121</v>
      </c>
      <c r="O15">
        <v>585</v>
      </c>
      <c r="P15">
        <v>2074</v>
      </c>
      <c r="Q15">
        <v>462</v>
      </c>
      <c r="R15">
        <v>251</v>
      </c>
      <c r="S15">
        <v>746</v>
      </c>
      <c r="T15">
        <v>1627</v>
      </c>
      <c r="U15">
        <v>289</v>
      </c>
      <c r="V15" s="34">
        <f>U15/$U$53</f>
        <v>3.1850152197440083E-4</v>
      </c>
      <c r="W15" s="42" t="s">
        <v>148</v>
      </c>
      <c r="Y15" t="s">
        <v>822</v>
      </c>
      <c r="Z15" s="24">
        <v>142</v>
      </c>
      <c r="AA15" s="118">
        <f t="shared" si="0"/>
        <v>2.191418897438509E-4</v>
      </c>
      <c r="AB15" t="s">
        <v>153</v>
      </c>
    </row>
    <row r="16" spans="1:36" ht="17" x14ac:dyDescent="0.2">
      <c r="A16" t="s">
        <v>348</v>
      </c>
      <c r="B16" t="s">
        <v>7</v>
      </c>
      <c r="C16" t="s">
        <v>349</v>
      </c>
      <c r="D16" t="s">
        <v>16</v>
      </c>
      <c r="E16" t="s">
        <v>16</v>
      </c>
      <c r="F16" t="s">
        <v>16</v>
      </c>
      <c r="G16" t="s">
        <v>16</v>
      </c>
      <c r="H16" t="s">
        <v>16</v>
      </c>
      <c r="I16" t="s">
        <v>16</v>
      </c>
      <c r="J16" t="s">
        <v>16</v>
      </c>
      <c r="K16">
        <v>128</v>
      </c>
      <c r="L16" t="s">
        <v>16</v>
      </c>
      <c r="M16">
        <v>2761</v>
      </c>
      <c r="N16">
        <v>17</v>
      </c>
      <c r="O16">
        <v>730</v>
      </c>
      <c r="P16">
        <v>17</v>
      </c>
      <c r="Q16">
        <v>4</v>
      </c>
      <c r="R16" t="s">
        <v>16</v>
      </c>
      <c r="S16" t="s">
        <v>16</v>
      </c>
      <c r="T16" t="s">
        <v>16</v>
      </c>
      <c r="U16">
        <v>265</v>
      </c>
      <c r="V16" s="34">
        <f>U16/$U$53</f>
        <v>2.9205156859244368E-4</v>
      </c>
      <c r="W16" s="42" t="s">
        <v>148</v>
      </c>
      <c r="Y16" t="s">
        <v>680</v>
      </c>
      <c r="Z16" s="24">
        <v>54</v>
      </c>
      <c r="AA16" s="118">
        <f t="shared" si="0"/>
        <v>8.3335648212450351E-5</v>
      </c>
      <c r="AB16" t="s">
        <v>265</v>
      </c>
    </row>
    <row r="17" spans="1:28" x14ac:dyDescent="0.2">
      <c r="A17" t="s">
        <v>350</v>
      </c>
      <c r="B17" t="s">
        <v>7</v>
      </c>
      <c r="C17" t="s">
        <v>351</v>
      </c>
      <c r="D17">
        <v>560</v>
      </c>
      <c r="E17" t="s">
        <v>16</v>
      </c>
      <c r="F17" t="s">
        <v>16</v>
      </c>
      <c r="G17" t="s">
        <v>16</v>
      </c>
      <c r="H17" t="s">
        <v>16</v>
      </c>
      <c r="I17" t="s">
        <v>16</v>
      </c>
      <c r="J17" t="s">
        <v>16</v>
      </c>
      <c r="K17" t="s">
        <v>16</v>
      </c>
      <c r="L17" t="s">
        <v>16</v>
      </c>
      <c r="M17" t="s">
        <v>16</v>
      </c>
      <c r="N17">
        <v>6</v>
      </c>
      <c r="O17" t="s">
        <v>16</v>
      </c>
      <c r="P17" t="s">
        <v>16</v>
      </c>
      <c r="Q17" t="s">
        <v>16</v>
      </c>
      <c r="R17" t="s">
        <v>16</v>
      </c>
      <c r="S17" t="s">
        <v>16</v>
      </c>
      <c r="T17" t="s">
        <v>16</v>
      </c>
      <c r="U17">
        <v>24</v>
      </c>
      <c r="V17" s="34">
        <f>U17/$U$53</f>
        <v>2.6449953381957165E-5</v>
      </c>
      <c r="W17" s="43" t="s">
        <v>148</v>
      </c>
      <c r="Y17" t="s">
        <v>701</v>
      </c>
      <c r="Z17" s="24">
        <v>52</v>
      </c>
      <c r="AA17" s="118">
        <f t="shared" si="0"/>
        <v>8.024914272310033E-5</v>
      </c>
      <c r="AB17" t="s">
        <v>26</v>
      </c>
    </row>
    <row r="18" spans="1:28" x14ac:dyDescent="0.2">
      <c r="A18" t="s">
        <v>118</v>
      </c>
      <c r="B18" t="s">
        <v>7</v>
      </c>
      <c r="C18" t="s">
        <v>352</v>
      </c>
      <c r="D18" t="s">
        <v>16</v>
      </c>
      <c r="E18" t="s">
        <v>16</v>
      </c>
      <c r="F18">
        <v>22</v>
      </c>
      <c r="G18">
        <v>179</v>
      </c>
      <c r="H18" t="s">
        <v>16</v>
      </c>
      <c r="I18" t="s">
        <v>16</v>
      </c>
      <c r="J18">
        <v>21</v>
      </c>
      <c r="K18" t="s">
        <v>16</v>
      </c>
      <c r="L18" t="s">
        <v>16</v>
      </c>
      <c r="M18" t="s">
        <v>16</v>
      </c>
      <c r="N18">
        <v>43</v>
      </c>
      <c r="O18" t="s">
        <v>16</v>
      </c>
      <c r="P18" t="s">
        <v>16</v>
      </c>
      <c r="Q18" t="s">
        <v>16</v>
      </c>
      <c r="R18" t="s">
        <v>16</v>
      </c>
      <c r="S18" t="s">
        <v>16</v>
      </c>
      <c r="T18" t="s">
        <v>16</v>
      </c>
      <c r="U18">
        <v>19</v>
      </c>
      <c r="V18" s="34">
        <f>U18/$U$53</f>
        <v>2.0939546427382756E-5</v>
      </c>
      <c r="W18" s="43" t="s">
        <v>148</v>
      </c>
      <c r="Y18" t="s">
        <v>729</v>
      </c>
      <c r="Z18" s="24">
        <v>49</v>
      </c>
      <c r="AA18" s="118">
        <f t="shared" si="0"/>
        <v>7.5619384489075312E-5</v>
      </c>
      <c r="AB18" t="s">
        <v>148</v>
      </c>
    </row>
    <row r="19" spans="1:28" x14ac:dyDescent="0.2">
      <c r="V19" s="7">
        <f>SUM(V15:V18)</f>
        <v>6.5794259037618436E-4</v>
      </c>
      <c r="W19" s="43"/>
      <c r="Y19" t="s">
        <v>836</v>
      </c>
      <c r="Z19" s="24">
        <v>41</v>
      </c>
      <c r="AA19" s="118">
        <f t="shared" si="0"/>
        <v>6.3273362531675268E-5</v>
      </c>
      <c r="AB19" t="s">
        <v>153</v>
      </c>
    </row>
    <row r="20" spans="1:28" x14ac:dyDescent="0.2">
      <c r="V20" s="34"/>
      <c r="W20" s="43"/>
      <c r="Y20" t="s">
        <v>835</v>
      </c>
      <c r="Z20" s="24">
        <v>38</v>
      </c>
      <c r="AA20" s="118">
        <f t="shared" si="0"/>
        <v>5.8643604297650244E-5</v>
      </c>
      <c r="AB20" t="s">
        <v>153</v>
      </c>
    </row>
    <row r="21" spans="1:28" ht="17" x14ac:dyDescent="0.2">
      <c r="A21" t="s">
        <v>34</v>
      </c>
      <c r="B21" t="s">
        <v>7</v>
      </c>
      <c r="C21" t="s">
        <v>353</v>
      </c>
      <c r="D21">
        <v>243</v>
      </c>
      <c r="E21" t="s">
        <v>16</v>
      </c>
      <c r="F21">
        <v>320</v>
      </c>
      <c r="G21" t="s">
        <v>16</v>
      </c>
      <c r="H21" t="s">
        <v>16</v>
      </c>
      <c r="I21" t="s">
        <v>16</v>
      </c>
      <c r="J21">
        <v>1480</v>
      </c>
      <c r="K21">
        <v>1717</v>
      </c>
      <c r="L21">
        <v>258</v>
      </c>
      <c r="M21">
        <v>783</v>
      </c>
      <c r="N21">
        <v>355</v>
      </c>
      <c r="O21">
        <v>270334</v>
      </c>
      <c r="P21">
        <v>1070888</v>
      </c>
      <c r="Q21">
        <v>389767</v>
      </c>
      <c r="R21">
        <v>509045</v>
      </c>
      <c r="S21">
        <v>75</v>
      </c>
      <c r="T21">
        <v>140</v>
      </c>
      <c r="U21">
        <v>502231</v>
      </c>
      <c r="V21" s="34">
        <f t="shared" ref="V21:V28" si="1">U21/$U$53</f>
        <v>0.55349943904057197</v>
      </c>
      <c r="W21" s="42" t="s">
        <v>246</v>
      </c>
      <c r="Y21" t="s">
        <v>690</v>
      </c>
      <c r="Z21" s="24">
        <v>32</v>
      </c>
      <c r="AA21" s="118">
        <f t="shared" si="0"/>
        <v>4.9384087829600208E-5</v>
      </c>
      <c r="AB21" t="s">
        <v>246</v>
      </c>
    </row>
    <row r="22" spans="1:28" ht="17" x14ac:dyDescent="0.2">
      <c r="A22" t="s">
        <v>312</v>
      </c>
      <c r="B22" t="s">
        <v>7</v>
      </c>
      <c r="C22" t="s">
        <v>354</v>
      </c>
      <c r="D22">
        <v>512</v>
      </c>
      <c r="E22">
        <v>3194</v>
      </c>
      <c r="F22">
        <v>1915</v>
      </c>
      <c r="G22">
        <v>177</v>
      </c>
      <c r="H22">
        <v>1570</v>
      </c>
      <c r="I22">
        <v>321</v>
      </c>
      <c r="J22">
        <v>5146</v>
      </c>
      <c r="K22">
        <v>291</v>
      </c>
      <c r="L22">
        <v>1599</v>
      </c>
      <c r="M22">
        <v>3560</v>
      </c>
      <c r="N22">
        <v>4828</v>
      </c>
      <c r="O22">
        <v>4525</v>
      </c>
      <c r="P22">
        <v>239</v>
      </c>
      <c r="Q22">
        <v>66</v>
      </c>
      <c r="R22">
        <v>218</v>
      </c>
      <c r="S22">
        <v>108</v>
      </c>
      <c r="T22">
        <v>217</v>
      </c>
      <c r="U22">
        <v>534</v>
      </c>
      <c r="V22" s="34">
        <f t="shared" si="1"/>
        <v>5.8851146274854695E-4</v>
      </c>
      <c r="W22" s="42" t="s">
        <v>246</v>
      </c>
      <c r="Y22" t="s">
        <v>679</v>
      </c>
      <c r="Z22" s="24">
        <v>24</v>
      </c>
      <c r="AA22" s="118">
        <f t="shared" si="0"/>
        <v>3.7038065872200151E-5</v>
      </c>
      <c r="AB22" t="s">
        <v>246</v>
      </c>
    </row>
    <row r="23" spans="1:28" ht="17" x14ac:dyDescent="0.2">
      <c r="A23" t="s">
        <v>172</v>
      </c>
      <c r="B23" t="s">
        <v>7</v>
      </c>
      <c r="C23" t="s">
        <v>355</v>
      </c>
      <c r="D23" t="s">
        <v>16</v>
      </c>
      <c r="E23" t="s">
        <v>16</v>
      </c>
      <c r="F23" t="s">
        <v>16</v>
      </c>
      <c r="G23" t="s">
        <v>16</v>
      </c>
      <c r="H23" t="s">
        <v>16</v>
      </c>
      <c r="I23" t="s">
        <v>16</v>
      </c>
      <c r="J23" t="s">
        <v>16</v>
      </c>
      <c r="K23">
        <v>27</v>
      </c>
      <c r="L23" t="s">
        <v>16</v>
      </c>
      <c r="M23">
        <v>40</v>
      </c>
      <c r="N23" t="s">
        <v>16</v>
      </c>
      <c r="O23">
        <v>14</v>
      </c>
      <c r="P23">
        <v>18</v>
      </c>
      <c r="Q23" t="s">
        <v>16</v>
      </c>
      <c r="R23">
        <v>59</v>
      </c>
      <c r="S23">
        <v>20</v>
      </c>
      <c r="T23">
        <v>39</v>
      </c>
      <c r="U23">
        <v>246</v>
      </c>
      <c r="V23" s="34">
        <f t="shared" si="1"/>
        <v>2.7111202216506091E-4</v>
      </c>
      <c r="W23" s="42" t="s">
        <v>246</v>
      </c>
      <c r="Y23" t="s">
        <v>837</v>
      </c>
      <c r="Z23" s="24">
        <v>23</v>
      </c>
      <c r="AA23" s="118">
        <f t="shared" si="0"/>
        <v>3.5494813127525147E-5</v>
      </c>
      <c r="AB23" t="s">
        <v>248</v>
      </c>
    </row>
    <row r="24" spans="1:28" ht="17" x14ac:dyDescent="0.2">
      <c r="A24" t="s">
        <v>51</v>
      </c>
      <c r="B24" t="s">
        <v>7</v>
      </c>
      <c r="C24" t="s">
        <v>356</v>
      </c>
      <c r="D24">
        <v>611</v>
      </c>
      <c r="E24">
        <v>651</v>
      </c>
      <c r="F24" t="s">
        <v>16</v>
      </c>
      <c r="G24">
        <v>23</v>
      </c>
      <c r="H24">
        <v>320</v>
      </c>
      <c r="I24">
        <v>843</v>
      </c>
      <c r="J24">
        <v>221</v>
      </c>
      <c r="K24">
        <v>614</v>
      </c>
      <c r="L24">
        <v>348</v>
      </c>
      <c r="M24">
        <v>184</v>
      </c>
      <c r="N24">
        <v>24</v>
      </c>
      <c r="O24">
        <v>247</v>
      </c>
      <c r="P24">
        <v>94</v>
      </c>
      <c r="Q24">
        <v>33</v>
      </c>
      <c r="R24">
        <v>56</v>
      </c>
      <c r="S24" t="s">
        <v>16</v>
      </c>
      <c r="T24">
        <v>90</v>
      </c>
      <c r="U24">
        <v>161</v>
      </c>
      <c r="V24" s="34">
        <f t="shared" si="1"/>
        <v>1.7743510393729598E-4</v>
      </c>
      <c r="W24" s="42" t="s">
        <v>246</v>
      </c>
      <c r="Y24" t="s">
        <v>677</v>
      </c>
      <c r="Z24" s="24">
        <v>22</v>
      </c>
      <c r="AA24" s="118">
        <f t="shared" si="0"/>
        <v>3.3951560382850143E-5</v>
      </c>
      <c r="AB24" t="s">
        <v>248</v>
      </c>
    </row>
    <row r="25" spans="1:28" ht="17" x14ac:dyDescent="0.2">
      <c r="A25" t="s">
        <v>103</v>
      </c>
      <c r="B25" t="s">
        <v>7</v>
      </c>
      <c r="C25" t="s">
        <v>357</v>
      </c>
      <c r="D25">
        <v>3726</v>
      </c>
      <c r="E25">
        <v>3000</v>
      </c>
      <c r="F25" t="s">
        <v>16</v>
      </c>
      <c r="G25">
        <v>755</v>
      </c>
      <c r="H25" t="s">
        <v>16</v>
      </c>
      <c r="I25">
        <v>142</v>
      </c>
      <c r="J25">
        <v>464</v>
      </c>
      <c r="K25">
        <v>627</v>
      </c>
      <c r="L25">
        <v>803</v>
      </c>
      <c r="M25">
        <v>845</v>
      </c>
      <c r="N25">
        <v>644</v>
      </c>
      <c r="O25">
        <v>9</v>
      </c>
      <c r="P25">
        <v>39</v>
      </c>
      <c r="Q25">
        <v>97</v>
      </c>
      <c r="R25">
        <v>12</v>
      </c>
      <c r="S25">
        <v>72</v>
      </c>
      <c r="T25">
        <v>42</v>
      </c>
      <c r="U25">
        <v>119</v>
      </c>
      <c r="V25" s="34">
        <f t="shared" si="1"/>
        <v>1.3114768551887094E-4</v>
      </c>
      <c r="W25" s="42" t="s">
        <v>246</v>
      </c>
      <c r="Y25" t="s">
        <v>653</v>
      </c>
      <c r="Z25" s="24">
        <v>22</v>
      </c>
      <c r="AA25" s="118">
        <f t="shared" si="0"/>
        <v>3.3951560382850143E-5</v>
      </c>
      <c r="AB25" t="s">
        <v>246</v>
      </c>
    </row>
    <row r="26" spans="1:28" ht="17" x14ac:dyDescent="0.2">
      <c r="A26" t="s">
        <v>143</v>
      </c>
      <c r="B26" t="s">
        <v>7</v>
      </c>
      <c r="C26" t="s">
        <v>358</v>
      </c>
      <c r="D26">
        <v>10020</v>
      </c>
      <c r="E26">
        <v>14198</v>
      </c>
      <c r="F26">
        <v>10789</v>
      </c>
      <c r="G26">
        <v>17908</v>
      </c>
      <c r="H26">
        <v>15591</v>
      </c>
      <c r="I26">
        <v>31948</v>
      </c>
      <c r="J26">
        <v>37044</v>
      </c>
      <c r="K26">
        <v>16455</v>
      </c>
      <c r="L26">
        <v>3288</v>
      </c>
      <c r="M26">
        <v>16311</v>
      </c>
      <c r="N26">
        <v>8274</v>
      </c>
      <c r="O26">
        <v>4423</v>
      </c>
      <c r="P26">
        <v>2114</v>
      </c>
      <c r="Q26">
        <v>475</v>
      </c>
      <c r="R26">
        <v>2263</v>
      </c>
      <c r="S26">
        <v>987</v>
      </c>
      <c r="T26">
        <v>141</v>
      </c>
      <c r="U26">
        <v>69</v>
      </c>
      <c r="V26" s="34">
        <f t="shared" si="1"/>
        <v>7.6043615973126852E-5</v>
      </c>
      <c r="W26" s="42" t="s">
        <v>246</v>
      </c>
      <c r="Y26" t="s">
        <v>839</v>
      </c>
      <c r="Z26" s="24">
        <v>21</v>
      </c>
      <c r="AA26" s="118">
        <f t="shared" si="0"/>
        <v>3.2408307638175133E-5</v>
      </c>
      <c r="AB26" t="s">
        <v>148</v>
      </c>
    </row>
    <row r="27" spans="1:28" ht="17" x14ac:dyDescent="0.2">
      <c r="A27" t="s">
        <v>41</v>
      </c>
      <c r="B27" t="s">
        <v>7</v>
      </c>
      <c r="C27" t="s">
        <v>359</v>
      </c>
      <c r="D27" t="s">
        <v>16</v>
      </c>
      <c r="E27">
        <v>690</v>
      </c>
      <c r="F27" t="s">
        <v>16</v>
      </c>
      <c r="G27" t="s">
        <v>16</v>
      </c>
      <c r="H27" t="s">
        <v>16</v>
      </c>
      <c r="I27" t="s">
        <v>16</v>
      </c>
      <c r="J27" t="s">
        <v>16</v>
      </c>
      <c r="K27" t="s">
        <v>16</v>
      </c>
      <c r="L27" t="s">
        <v>16</v>
      </c>
      <c r="M27">
        <v>244</v>
      </c>
      <c r="N27">
        <v>121</v>
      </c>
      <c r="O27">
        <v>18</v>
      </c>
      <c r="P27">
        <v>35</v>
      </c>
      <c r="Q27" t="s">
        <v>16</v>
      </c>
      <c r="R27">
        <v>95</v>
      </c>
      <c r="S27" t="s">
        <v>16</v>
      </c>
      <c r="T27">
        <v>3</v>
      </c>
      <c r="U27">
        <v>22</v>
      </c>
      <c r="V27" s="34">
        <f t="shared" si="1"/>
        <v>2.42457906001274E-5</v>
      </c>
      <c r="W27" s="42" t="s">
        <v>246</v>
      </c>
      <c r="Y27" t="s">
        <v>683</v>
      </c>
      <c r="Z27" s="24">
        <v>20</v>
      </c>
      <c r="AA27" s="118">
        <f t="shared" si="0"/>
        <v>3.0865054893500129E-5</v>
      </c>
      <c r="AB27" t="s">
        <v>65</v>
      </c>
    </row>
    <row r="28" spans="1:28" ht="17" x14ac:dyDescent="0.2">
      <c r="A28" t="s">
        <v>131</v>
      </c>
      <c r="B28" t="s">
        <v>7</v>
      </c>
      <c r="C28" t="s">
        <v>360</v>
      </c>
      <c r="D28">
        <v>2796</v>
      </c>
      <c r="E28">
        <v>6489</v>
      </c>
      <c r="F28">
        <v>273</v>
      </c>
      <c r="G28">
        <v>732</v>
      </c>
      <c r="H28">
        <v>2369</v>
      </c>
      <c r="I28">
        <v>1597</v>
      </c>
      <c r="J28">
        <v>7045</v>
      </c>
      <c r="K28">
        <v>1864</v>
      </c>
      <c r="L28">
        <v>69</v>
      </c>
      <c r="M28">
        <v>2028</v>
      </c>
      <c r="N28">
        <v>1055</v>
      </c>
      <c r="O28">
        <v>120</v>
      </c>
      <c r="P28">
        <v>138</v>
      </c>
      <c r="Q28">
        <v>65</v>
      </c>
      <c r="R28">
        <v>187</v>
      </c>
      <c r="S28">
        <v>12</v>
      </c>
      <c r="T28">
        <v>12</v>
      </c>
      <c r="U28">
        <v>19</v>
      </c>
      <c r="V28" s="34">
        <f t="shared" si="1"/>
        <v>2.0939546427382756E-5</v>
      </c>
      <c r="W28" s="42" t="s">
        <v>246</v>
      </c>
      <c r="Y28" t="s">
        <v>681</v>
      </c>
      <c r="Z28" s="24">
        <v>20</v>
      </c>
      <c r="AA28" s="118">
        <f t="shared" si="0"/>
        <v>3.0865054893500129E-5</v>
      </c>
      <c r="AB28" t="s">
        <v>265</v>
      </c>
    </row>
    <row r="29" spans="1:28" x14ac:dyDescent="0.2">
      <c r="V29" s="7">
        <f>SUM(V21:V28)</f>
        <v>0.55478887426794232</v>
      </c>
      <c r="W29" s="42"/>
      <c r="Y29" t="s">
        <v>705</v>
      </c>
      <c r="Z29" s="24">
        <v>19</v>
      </c>
      <c r="AA29" s="118">
        <f t="shared" si="0"/>
        <v>2.9321802148825122E-5</v>
      </c>
      <c r="AB29" t="s">
        <v>148</v>
      </c>
    </row>
    <row r="30" spans="1:28" x14ac:dyDescent="0.2">
      <c r="V30" s="34"/>
      <c r="W30" s="42"/>
      <c r="Y30" t="s">
        <v>828</v>
      </c>
      <c r="Z30" s="24">
        <v>18</v>
      </c>
      <c r="AA30" s="118">
        <f t="shared" si="0"/>
        <v>2.7778549404150115E-5</v>
      </c>
      <c r="AB30" t="s">
        <v>148</v>
      </c>
    </row>
    <row r="31" spans="1:28" x14ac:dyDescent="0.2">
      <c r="A31" t="s">
        <v>27</v>
      </c>
      <c r="B31" t="s">
        <v>7</v>
      </c>
      <c r="C31" t="s">
        <v>361</v>
      </c>
      <c r="D31">
        <v>1703</v>
      </c>
      <c r="E31">
        <v>1897</v>
      </c>
      <c r="F31" t="s">
        <v>16</v>
      </c>
      <c r="G31" t="s">
        <v>16</v>
      </c>
      <c r="H31">
        <v>2565</v>
      </c>
      <c r="I31">
        <v>2873</v>
      </c>
      <c r="J31">
        <v>335</v>
      </c>
      <c r="K31">
        <v>2860</v>
      </c>
      <c r="L31">
        <v>8957</v>
      </c>
      <c r="M31">
        <v>1258</v>
      </c>
      <c r="N31">
        <v>1197</v>
      </c>
      <c r="O31">
        <v>20</v>
      </c>
      <c r="P31">
        <v>158063</v>
      </c>
      <c r="Q31">
        <v>221085</v>
      </c>
      <c r="R31">
        <v>11</v>
      </c>
      <c r="S31">
        <v>51268</v>
      </c>
      <c r="T31">
        <v>201486</v>
      </c>
      <c r="U31">
        <v>59</v>
      </c>
      <c r="V31" s="7">
        <f>U31/$U$53</f>
        <v>6.5022802063978034E-5</v>
      </c>
      <c r="W31" s="43" t="s">
        <v>26</v>
      </c>
      <c r="Y31" t="s">
        <v>704</v>
      </c>
      <c r="Z31" s="24">
        <v>7</v>
      </c>
      <c r="AA31" s="118">
        <f t="shared" si="0"/>
        <v>1.0802769212725045E-5</v>
      </c>
      <c r="AB31" t="s">
        <v>246</v>
      </c>
    </row>
    <row r="32" spans="1:28" x14ac:dyDescent="0.2">
      <c r="V32" s="7"/>
      <c r="W32" s="43"/>
      <c r="Z32" s="300">
        <f>SUM(Z7:Z31)</f>
        <v>647982</v>
      </c>
    </row>
    <row r="33" spans="1:27" x14ac:dyDescent="0.2">
      <c r="V33" s="7"/>
      <c r="W33" s="43"/>
    </row>
    <row r="34" spans="1:27" x14ac:dyDescent="0.2">
      <c r="A34" t="s">
        <v>66</v>
      </c>
      <c r="B34" t="s">
        <v>7</v>
      </c>
      <c r="C34" t="s">
        <v>362</v>
      </c>
      <c r="D34" t="s">
        <v>16</v>
      </c>
      <c r="E34" t="s">
        <v>16</v>
      </c>
      <c r="F34" t="s">
        <v>16</v>
      </c>
      <c r="G34">
        <v>22</v>
      </c>
      <c r="H34" t="s">
        <v>16</v>
      </c>
      <c r="I34">
        <v>245</v>
      </c>
      <c r="J34" t="s">
        <v>16</v>
      </c>
      <c r="K34">
        <v>400</v>
      </c>
      <c r="L34" t="s">
        <v>16</v>
      </c>
      <c r="M34" t="s">
        <v>16</v>
      </c>
      <c r="N34" t="s">
        <v>16</v>
      </c>
      <c r="O34">
        <v>18</v>
      </c>
      <c r="P34" t="s">
        <v>16</v>
      </c>
      <c r="Q34" t="s">
        <v>16</v>
      </c>
      <c r="R34" t="s">
        <v>16</v>
      </c>
      <c r="S34">
        <v>96</v>
      </c>
      <c r="T34" t="s">
        <v>16</v>
      </c>
      <c r="U34">
        <v>97</v>
      </c>
      <c r="V34" s="7">
        <f>U34/$U$53</f>
        <v>1.0690189491874353E-4</v>
      </c>
      <c r="W34" s="43" t="s">
        <v>65</v>
      </c>
      <c r="Y34" s="299"/>
      <c r="Z34" t="s">
        <v>148</v>
      </c>
      <c r="AA34" s="118">
        <f>+SUMIF($AB$7:$AB$31,Z34,$AA$7:$AA$31)</f>
        <v>4.3674052674302682E-4</v>
      </c>
    </row>
    <row r="35" spans="1:27" x14ac:dyDescent="0.2">
      <c r="V35" s="7"/>
      <c r="W35" s="43"/>
      <c r="Z35" t="s">
        <v>265</v>
      </c>
      <c r="AA35" s="118">
        <f t="shared" ref="AA35:AA47" si="2">+SUMIF($AB$7:$AB$31,Z35,$AA$7:$AA$31)</f>
        <v>9.3417718393412161E-2</v>
      </c>
    </row>
    <row r="36" spans="1:27" x14ac:dyDescent="0.2">
      <c r="V36" s="7"/>
      <c r="W36" s="43"/>
      <c r="Z36" t="s">
        <v>26</v>
      </c>
      <c r="AA36" s="118">
        <f t="shared" si="2"/>
        <v>8.024914272310033E-5</v>
      </c>
    </row>
    <row r="37" spans="1:27" x14ac:dyDescent="0.2">
      <c r="A37" t="s">
        <v>78</v>
      </c>
      <c r="B37" t="s">
        <v>7</v>
      </c>
      <c r="C37" t="s">
        <v>363</v>
      </c>
      <c r="D37" t="s">
        <v>16</v>
      </c>
      <c r="E37" t="s">
        <v>16</v>
      </c>
      <c r="F37" t="s">
        <v>16</v>
      </c>
      <c r="G37" t="s">
        <v>16</v>
      </c>
      <c r="H37" t="s">
        <v>16</v>
      </c>
      <c r="I37" t="s">
        <v>16</v>
      </c>
      <c r="J37" t="s">
        <v>16</v>
      </c>
      <c r="K37" t="s">
        <v>16</v>
      </c>
      <c r="L37">
        <v>22</v>
      </c>
      <c r="M37" t="s">
        <v>16</v>
      </c>
      <c r="N37" t="s">
        <v>16</v>
      </c>
      <c r="O37" t="s">
        <v>16</v>
      </c>
      <c r="P37" t="s">
        <v>16</v>
      </c>
      <c r="Q37">
        <v>55116</v>
      </c>
      <c r="R37">
        <v>14881</v>
      </c>
      <c r="S37" t="s">
        <v>16</v>
      </c>
      <c r="T37">
        <v>66695</v>
      </c>
      <c r="U37">
        <v>199086</v>
      </c>
      <c r="V37" s="7">
        <f>U37/$U$53</f>
        <v>0.21940897579168017</v>
      </c>
      <c r="W37" s="43" t="s">
        <v>77</v>
      </c>
      <c r="Z37" t="s">
        <v>36</v>
      </c>
      <c r="AA37" s="118">
        <f t="shared" si="2"/>
        <v>0</v>
      </c>
    </row>
    <row r="38" spans="1:27" x14ac:dyDescent="0.2">
      <c r="V38" s="7"/>
      <c r="W38" s="43"/>
      <c r="Z38" t="s">
        <v>65</v>
      </c>
      <c r="AA38" s="118">
        <f t="shared" si="2"/>
        <v>3.0865054893500129E-5</v>
      </c>
    </row>
    <row r="39" spans="1:27" x14ac:dyDescent="0.2">
      <c r="V39" s="7"/>
      <c r="W39" s="43"/>
      <c r="Z39" t="s">
        <v>267</v>
      </c>
      <c r="AA39" s="118">
        <f t="shared" si="2"/>
        <v>0</v>
      </c>
    </row>
    <row r="40" spans="1:27" ht="17" x14ac:dyDescent="0.2">
      <c r="A40" t="s">
        <v>112</v>
      </c>
      <c r="B40" t="s">
        <v>7</v>
      </c>
      <c r="C40" t="s">
        <v>364</v>
      </c>
      <c r="D40">
        <v>1457</v>
      </c>
      <c r="E40">
        <v>11426</v>
      </c>
      <c r="F40">
        <v>10627</v>
      </c>
      <c r="G40">
        <v>37010</v>
      </c>
      <c r="H40">
        <v>58548</v>
      </c>
      <c r="I40">
        <v>22286</v>
      </c>
      <c r="J40">
        <v>56342</v>
      </c>
      <c r="K40">
        <v>96114</v>
      </c>
      <c r="L40">
        <v>80195</v>
      </c>
      <c r="M40">
        <v>2187</v>
      </c>
      <c r="N40">
        <v>5521</v>
      </c>
      <c r="O40">
        <v>22101</v>
      </c>
      <c r="P40">
        <v>10528</v>
      </c>
      <c r="Q40">
        <v>2968</v>
      </c>
      <c r="R40">
        <v>4079</v>
      </c>
      <c r="S40">
        <v>2377</v>
      </c>
      <c r="T40">
        <v>1332</v>
      </c>
      <c r="U40">
        <v>1639</v>
      </c>
      <c r="V40" s="7">
        <f>U40/$U$53</f>
        <v>1.8063113997094913E-3</v>
      </c>
      <c r="W40" s="42" t="s">
        <v>248</v>
      </c>
      <c r="Z40" t="s">
        <v>266</v>
      </c>
      <c r="AA40" s="118">
        <f t="shared" si="2"/>
        <v>0</v>
      </c>
    </row>
    <row r="41" spans="1:27" x14ac:dyDescent="0.2">
      <c r="V41" s="7"/>
      <c r="W41" s="42"/>
      <c r="Z41" t="s">
        <v>77</v>
      </c>
      <c r="AA41" s="118">
        <f t="shared" si="2"/>
        <v>0</v>
      </c>
    </row>
    <row r="42" spans="1:27" x14ac:dyDescent="0.2">
      <c r="V42" s="7"/>
      <c r="W42" s="42"/>
      <c r="Z42" t="s">
        <v>246</v>
      </c>
      <c r="AA42" s="118">
        <f t="shared" si="2"/>
        <v>0.90408684191844846</v>
      </c>
    </row>
    <row r="43" spans="1:27" ht="17" x14ac:dyDescent="0.2">
      <c r="A43" t="s">
        <v>99</v>
      </c>
      <c r="B43" t="s">
        <v>7</v>
      </c>
      <c r="C43" t="s">
        <v>365</v>
      </c>
      <c r="D43">
        <v>481</v>
      </c>
      <c r="E43">
        <v>76</v>
      </c>
      <c r="F43" t="s">
        <v>16</v>
      </c>
      <c r="G43" t="s">
        <v>16</v>
      </c>
      <c r="H43" t="s">
        <v>16</v>
      </c>
      <c r="I43" t="s">
        <v>16</v>
      </c>
      <c r="J43">
        <v>1154</v>
      </c>
      <c r="K43" t="s">
        <v>16</v>
      </c>
      <c r="L43">
        <v>112</v>
      </c>
      <c r="M43">
        <v>161</v>
      </c>
      <c r="N43" t="s">
        <v>16</v>
      </c>
      <c r="O43">
        <v>19</v>
      </c>
      <c r="P43">
        <v>71</v>
      </c>
      <c r="Q43">
        <v>66</v>
      </c>
      <c r="R43">
        <v>49</v>
      </c>
      <c r="S43" t="s">
        <v>16</v>
      </c>
      <c r="T43">
        <v>44</v>
      </c>
      <c r="U43">
        <v>91</v>
      </c>
      <c r="V43" s="7">
        <f>U43/$U$53</f>
        <v>1.0028940657325425E-4</v>
      </c>
      <c r="W43" s="42" t="s">
        <v>283</v>
      </c>
      <c r="Z43" t="s">
        <v>153</v>
      </c>
      <c r="AA43" s="118">
        <f t="shared" si="2"/>
        <v>3.4105885657317642E-4</v>
      </c>
    </row>
    <row r="44" spans="1:27" x14ac:dyDescent="0.2">
      <c r="V44" s="34"/>
      <c r="W44" s="42"/>
      <c r="Z44" t="s">
        <v>248</v>
      </c>
      <c r="AA44" s="118">
        <f t="shared" si="2"/>
        <v>1.6065261072066817E-3</v>
      </c>
    </row>
    <row r="45" spans="1:27" x14ac:dyDescent="0.2">
      <c r="V45" s="34"/>
      <c r="W45" s="42"/>
      <c r="Z45" t="s">
        <v>86</v>
      </c>
      <c r="AA45" s="118">
        <f t="shared" si="2"/>
        <v>0</v>
      </c>
    </row>
    <row r="46" spans="1:27" ht="17" x14ac:dyDescent="0.2">
      <c r="A46" t="s">
        <v>73</v>
      </c>
      <c r="B46" t="s">
        <v>7</v>
      </c>
      <c r="C46" t="s">
        <v>366</v>
      </c>
      <c r="D46" t="s">
        <v>16</v>
      </c>
      <c r="E46" t="s">
        <v>16</v>
      </c>
      <c r="F46" t="s">
        <v>16</v>
      </c>
      <c r="G46" t="s">
        <v>16</v>
      </c>
      <c r="H46" t="s">
        <v>16</v>
      </c>
      <c r="I46" t="s">
        <v>16</v>
      </c>
      <c r="J46">
        <v>715</v>
      </c>
      <c r="K46" t="s">
        <v>16</v>
      </c>
      <c r="L46" t="s">
        <v>16</v>
      </c>
      <c r="M46" t="s">
        <v>16</v>
      </c>
      <c r="N46" t="s">
        <v>16</v>
      </c>
      <c r="O46">
        <v>688081</v>
      </c>
      <c r="P46">
        <v>1295483</v>
      </c>
      <c r="Q46">
        <v>136322</v>
      </c>
      <c r="R46" t="s">
        <v>16</v>
      </c>
      <c r="S46" t="s">
        <v>16</v>
      </c>
      <c r="T46">
        <v>21</v>
      </c>
      <c r="U46">
        <v>137699</v>
      </c>
      <c r="V46" s="34">
        <f t="shared" ref="V46:V51" si="3">U46/$U$53</f>
        <v>0.15175550544758831</v>
      </c>
      <c r="W46" s="42" t="s">
        <v>265</v>
      </c>
      <c r="Z46" t="s">
        <v>191</v>
      </c>
      <c r="AA46" s="118">
        <f t="shared" si="2"/>
        <v>0</v>
      </c>
    </row>
    <row r="47" spans="1:27" ht="17" x14ac:dyDescent="0.2">
      <c r="A47" t="s">
        <v>45</v>
      </c>
      <c r="B47" t="s">
        <v>7</v>
      </c>
      <c r="C47" t="s">
        <v>367</v>
      </c>
      <c r="D47" t="s">
        <v>16</v>
      </c>
      <c r="E47" t="s">
        <v>16</v>
      </c>
      <c r="F47" t="s">
        <v>16</v>
      </c>
      <c r="G47" t="s">
        <v>16</v>
      </c>
      <c r="H47" t="s">
        <v>16</v>
      </c>
      <c r="I47" t="s">
        <v>16</v>
      </c>
      <c r="J47" t="s">
        <v>16</v>
      </c>
      <c r="K47" t="s">
        <v>16</v>
      </c>
      <c r="L47" t="s">
        <v>16</v>
      </c>
      <c r="M47" t="s">
        <v>16</v>
      </c>
      <c r="N47" t="s">
        <v>16</v>
      </c>
      <c r="O47" t="s">
        <v>16</v>
      </c>
      <c r="P47" t="s">
        <v>16</v>
      </c>
      <c r="Q47" t="s">
        <v>16</v>
      </c>
      <c r="R47" t="s">
        <v>16</v>
      </c>
      <c r="S47" t="s">
        <v>16</v>
      </c>
      <c r="T47" t="s">
        <v>16</v>
      </c>
      <c r="U47">
        <v>64080</v>
      </c>
      <c r="V47" s="34">
        <f t="shared" si="3"/>
        <v>7.0621375529825628E-2</v>
      </c>
      <c r="W47" s="42" t="s">
        <v>265</v>
      </c>
      <c r="Z47" t="s">
        <v>31</v>
      </c>
      <c r="AA47" s="118">
        <f t="shared" si="2"/>
        <v>0</v>
      </c>
    </row>
    <row r="48" spans="1:27" ht="17" x14ac:dyDescent="0.2">
      <c r="A48" t="s">
        <v>133</v>
      </c>
      <c r="B48" t="s">
        <v>7</v>
      </c>
      <c r="C48" t="s">
        <v>368</v>
      </c>
      <c r="D48">
        <v>1542</v>
      </c>
      <c r="E48">
        <v>2550</v>
      </c>
      <c r="F48">
        <v>4058</v>
      </c>
      <c r="G48">
        <v>2377</v>
      </c>
      <c r="H48">
        <v>4250</v>
      </c>
      <c r="I48">
        <v>6001</v>
      </c>
      <c r="J48">
        <v>6278</v>
      </c>
      <c r="K48">
        <v>109</v>
      </c>
      <c r="L48">
        <v>137</v>
      </c>
      <c r="M48">
        <v>823</v>
      </c>
      <c r="N48">
        <v>765</v>
      </c>
      <c r="O48">
        <v>330659</v>
      </c>
      <c r="P48">
        <v>67993</v>
      </c>
      <c r="Q48">
        <v>130943</v>
      </c>
      <c r="R48">
        <v>1118</v>
      </c>
      <c r="S48">
        <v>195</v>
      </c>
      <c r="T48">
        <v>387</v>
      </c>
      <c r="U48">
        <v>496</v>
      </c>
      <c r="V48" s="34">
        <f t="shared" si="3"/>
        <v>5.4663236989378142E-4</v>
      </c>
      <c r="W48" s="42" t="s">
        <v>265</v>
      </c>
      <c r="AA48" s="297">
        <f>SUM(AA34:AA47)</f>
        <v>1</v>
      </c>
    </row>
    <row r="49" spans="1:23" ht="17" x14ac:dyDescent="0.2">
      <c r="A49" t="s">
        <v>59</v>
      </c>
      <c r="B49" t="s">
        <v>7</v>
      </c>
      <c r="C49" t="s">
        <v>369</v>
      </c>
      <c r="D49" t="s">
        <v>16</v>
      </c>
      <c r="E49">
        <v>1080</v>
      </c>
      <c r="F49">
        <v>243</v>
      </c>
      <c r="G49">
        <v>22</v>
      </c>
      <c r="H49" t="s">
        <v>16</v>
      </c>
      <c r="I49">
        <v>158</v>
      </c>
      <c r="J49">
        <v>954</v>
      </c>
      <c r="K49">
        <v>10755</v>
      </c>
      <c r="L49">
        <v>165</v>
      </c>
      <c r="M49">
        <v>17</v>
      </c>
      <c r="N49">
        <v>64</v>
      </c>
      <c r="O49">
        <v>100</v>
      </c>
      <c r="P49">
        <v>96</v>
      </c>
      <c r="Q49">
        <v>174</v>
      </c>
      <c r="R49" t="s">
        <v>16</v>
      </c>
      <c r="S49">
        <v>102</v>
      </c>
      <c r="T49">
        <v>64569</v>
      </c>
      <c r="U49">
        <v>85</v>
      </c>
      <c r="V49" s="34">
        <f t="shared" si="3"/>
        <v>9.3676918227764957E-5</v>
      </c>
      <c r="W49" s="42" t="s">
        <v>265</v>
      </c>
    </row>
    <row r="50" spans="1:23" ht="17" x14ac:dyDescent="0.2">
      <c r="A50" t="s">
        <v>122</v>
      </c>
      <c r="B50" t="s">
        <v>7</v>
      </c>
      <c r="C50" t="s">
        <v>370</v>
      </c>
      <c r="D50" t="s">
        <v>16</v>
      </c>
      <c r="E50" t="s">
        <v>16</v>
      </c>
      <c r="F50" t="s">
        <v>16</v>
      </c>
      <c r="G50" t="s">
        <v>16</v>
      </c>
      <c r="H50" t="s">
        <v>16</v>
      </c>
      <c r="I50" t="s">
        <v>16</v>
      </c>
      <c r="J50" t="s">
        <v>16</v>
      </c>
      <c r="K50">
        <v>22714</v>
      </c>
      <c r="L50">
        <v>78</v>
      </c>
      <c r="M50">
        <v>192</v>
      </c>
      <c r="N50">
        <v>140</v>
      </c>
      <c r="O50">
        <v>78269</v>
      </c>
      <c r="P50">
        <v>146</v>
      </c>
      <c r="Q50">
        <v>149</v>
      </c>
      <c r="R50">
        <v>168</v>
      </c>
      <c r="S50">
        <v>89</v>
      </c>
      <c r="T50">
        <v>154</v>
      </c>
      <c r="U50">
        <v>44</v>
      </c>
      <c r="V50" s="34">
        <f t="shared" si="3"/>
        <v>4.8491581200254801E-5</v>
      </c>
      <c r="W50" s="42" t="s">
        <v>265</v>
      </c>
    </row>
    <row r="51" spans="1:23" ht="17" x14ac:dyDescent="0.2">
      <c r="A51" t="s">
        <v>70</v>
      </c>
      <c r="C51" t="s">
        <v>9</v>
      </c>
      <c r="V51" s="34">
        <f t="shared" si="3"/>
        <v>0</v>
      </c>
      <c r="W51" s="42" t="s">
        <v>265</v>
      </c>
    </row>
    <row r="52" spans="1:23" x14ac:dyDescent="0.2">
      <c r="V52" s="36">
        <f>SUM(V46:V51)</f>
        <v>0.22306568184673572</v>
      </c>
      <c r="W52" s="43"/>
    </row>
    <row r="53" spans="1:23" x14ac:dyDescent="0.2">
      <c r="U53">
        <f>SUM(U15:U52)</f>
        <v>907374</v>
      </c>
      <c r="V53" s="21"/>
      <c r="W53" s="43"/>
    </row>
  </sheetData>
  <sortState xmlns:xlrd2="http://schemas.microsoft.com/office/spreadsheetml/2017/richdata2" ref="Y7:Z31">
    <sortCondition descending="1" ref="Z7:Z31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AL63"/>
  <sheetViews>
    <sheetView topLeftCell="A14" workbookViewId="0">
      <selection activeCell="AB30" sqref="AB30:AC44"/>
    </sheetView>
  </sheetViews>
  <sheetFormatPr baseColWidth="10" defaultColWidth="11" defaultRowHeight="16" x14ac:dyDescent="0.2"/>
  <cols>
    <col min="1" max="1" width="32.1640625" customWidth="1"/>
    <col min="4" max="20" width="0" hidden="1" customWidth="1"/>
    <col min="23" max="23" width="13.5" customWidth="1"/>
    <col min="24" max="24" width="25.5" customWidth="1"/>
    <col min="27" max="27" width="26.1640625" bestFit="1" customWidth="1"/>
    <col min="28" max="28" width="11.1640625" bestFit="1" customWidth="1"/>
    <col min="29" max="29" width="7" bestFit="1" customWidth="1"/>
    <col min="30" max="30" width="11.83203125" bestFit="1" customWidth="1"/>
  </cols>
  <sheetData>
    <row r="1" spans="1:38" x14ac:dyDescent="0.2">
      <c r="A1" s="1" t="s">
        <v>291</v>
      </c>
    </row>
    <row r="2" spans="1:38" x14ac:dyDescent="0.2">
      <c r="A2" t="s">
        <v>292</v>
      </c>
    </row>
    <row r="3" spans="1:38" x14ac:dyDescent="0.2">
      <c r="A3" t="s">
        <v>293</v>
      </c>
    </row>
    <row r="4" spans="1:38" x14ac:dyDescent="0.2">
      <c r="A4" t="s">
        <v>3</v>
      </c>
    </row>
    <row r="5" spans="1:38" x14ac:dyDescent="0.2">
      <c r="A5" t="s">
        <v>4</v>
      </c>
      <c r="B5" t="s">
        <v>5</v>
      </c>
      <c r="C5" t="s">
        <v>6</v>
      </c>
      <c r="D5">
        <v>2001</v>
      </c>
      <c r="E5">
        <v>2002</v>
      </c>
      <c r="F5">
        <v>2003</v>
      </c>
      <c r="G5">
        <v>2004</v>
      </c>
      <c r="H5">
        <v>2005</v>
      </c>
      <c r="I5">
        <v>2006</v>
      </c>
      <c r="J5">
        <v>2007</v>
      </c>
      <c r="K5">
        <v>2008</v>
      </c>
      <c r="L5">
        <v>2009</v>
      </c>
      <c r="M5">
        <v>2010</v>
      </c>
      <c r="N5">
        <v>2011</v>
      </c>
      <c r="O5">
        <v>2012</v>
      </c>
      <c r="P5">
        <v>2013</v>
      </c>
      <c r="Q5">
        <v>2014</v>
      </c>
      <c r="R5">
        <v>2015</v>
      </c>
      <c r="S5">
        <v>2016</v>
      </c>
      <c r="T5">
        <v>2017</v>
      </c>
      <c r="U5">
        <v>2018</v>
      </c>
    </row>
    <row r="6" spans="1:38" x14ac:dyDescent="0.2">
      <c r="A6" t="s">
        <v>291</v>
      </c>
      <c r="B6" t="s">
        <v>7</v>
      </c>
    </row>
    <row r="7" spans="1:38" x14ac:dyDescent="0.2">
      <c r="A7" t="s">
        <v>8</v>
      </c>
      <c r="C7" t="s">
        <v>9</v>
      </c>
    </row>
    <row r="8" spans="1:38" x14ac:dyDescent="0.2">
      <c r="A8" t="s">
        <v>10</v>
      </c>
      <c r="B8" t="s">
        <v>7</v>
      </c>
      <c r="C8" t="s">
        <v>294</v>
      </c>
      <c r="D8">
        <v>4466107</v>
      </c>
      <c r="E8">
        <v>4040041</v>
      </c>
      <c r="F8">
        <v>4225883</v>
      </c>
      <c r="G8">
        <v>6495477</v>
      </c>
      <c r="H8">
        <v>7316841</v>
      </c>
      <c r="I8">
        <v>6230467</v>
      </c>
      <c r="J8">
        <v>7384103</v>
      </c>
      <c r="K8">
        <v>8276658</v>
      </c>
      <c r="L8">
        <v>7812519</v>
      </c>
      <c r="M8">
        <v>9726942</v>
      </c>
      <c r="N8">
        <v>10137865</v>
      </c>
      <c r="O8">
        <v>10987044</v>
      </c>
      <c r="P8">
        <v>12614163</v>
      </c>
      <c r="Q8">
        <v>13102400</v>
      </c>
      <c r="R8">
        <v>10647837</v>
      </c>
      <c r="S8">
        <v>6987337</v>
      </c>
      <c r="T8">
        <v>9975264</v>
      </c>
      <c r="U8">
        <v>11322826</v>
      </c>
    </row>
    <row r="9" spans="1:38" x14ac:dyDescent="0.2">
      <c r="A9" t="s">
        <v>12</v>
      </c>
      <c r="B9" t="s">
        <v>7</v>
      </c>
      <c r="C9" t="s">
        <v>295</v>
      </c>
      <c r="D9">
        <v>60047</v>
      </c>
      <c r="E9" t="s">
        <v>16</v>
      </c>
      <c r="F9">
        <v>175522</v>
      </c>
      <c r="G9">
        <v>481259</v>
      </c>
      <c r="H9">
        <v>644676</v>
      </c>
      <c r="I9">
        <v>190831</v>
      </c>
      <c r="J9">
        <v>11440</v>
      </c>
      <c r="K9">
        <v>123382</v>
      </c>
      <c r="L9">
        <v>25703</v>
      </c>
      <c r="M9">
        <v>352788</v>
      </c>
      <c r="N9">
        <v>867070</v>
      </c>
      <c r="O9">
        <v>1377582</v>
      </c>
      <c r="P9">
        <v>2213250</v>
      </c>
      <c r="Q9">
        <v>1608416</v>
      </c>
      <c r="R9">
        <v>1793679</v>
      </c>
      <c r="S9">
        <v>709460</v>
      </c>
      <c r="T9">
        <v>223390</v>
      </c>
      <c r="U9">
        <v>691411</v>
      </c>
    </row>
    <row r="10" spans="1:38" x14ac:dyDescent="0.2">
      <c r="A10" t="s">
        <v>14</v>
      </c>
      <c r="B10" t="s">
        <v>7</v>
      </c>
      <c r="C10" t="s">
        <v>296</v>
      </c>
      <c r="D10">
        <v>4406060</v>
      </c>
      <c r="E10">
        <v>4040041</v>
      </c>
      <c r="F10">
        <v>4050361</v>
      </c>
      <c r="G10">
        <v>6014218</v>
      </c>
      <c r="H10">
        <v>6672165</v>
      </c>
      <c r="I10">
        <v>6039636</v>
      </c>
      <c r="J10">
        <v>7372663</v>
      </c>
      <c r="K10">
        <v>8153276</v>
      </c>
      <c r="L10">
        <v>7786816</v>
      </c>
      <c r="M10">
        <v>9374154</v>
      </c>
      <c r="N10">
        <v>9270795</v>
      </c>
      <c r="O10">
        <v>9609462</v>
      </c>
      <c r="P10">
        <v>10400913</v>
      </c>
      <c r="Q10">
        <v>11493984</v>
      </c>
      <c r="R10">
        <v>8854158</v>
      </c>
      <c r="S10">
        <v>6277877</v>
      </c>
      <c r="T10">
        <v>9751874</v>
      </c>
      <c r="U10">
        <v>10631415</v>
      </c>
    </row>
    <row r="11" spans="1:38" x14ac:dyDescent="0.2">
      <c r="A11" t="s">
        <v>15</v>
      </c>
      <c r="B11" t="s">
        <v>7</v>
      </c>
      <c r="C11" t="s">
        <v>297</v>
      </c>
      <c r="D11">
        <v>1704</v>
      </c>
      <c r="E11">
        <v>5585</v>
      </c>
      <c r="F11">
        <v>12502</v>
      </c>
      <c r="G11">
        <v>12415</v>
      </c>
      <c r="H11">
        <v>2171</v>
      </c>
      <c r="I11">
        <v>2765</v>
      </c>
      <c r="J11">
        <v>24470</v>
      </c>
      <c r="K11">
        <v>17769</v>
      </c>
      <c r="L11">
        <v>19912</v>
      </c>
      <c r="M11">
        <v>6435</v>
      </c>
      <c r="N11">
        <v>47823</v>
      </c>
      <c r="O11">
        <v>14205</v>
      </c>
      <c r="P11">
        <v>145945</v>
      </c>
      <c r="Q11">
        <v>3188</v>
      </c>
      <c r="R11" t="s">
        <v>16</v>
      </c>
      <c r="S11" t="s">
        <v>16</v>
      </c>
      <c r="T11" t="s">
        <v>16</v>
      </c>
      <c r="U11">
        <v>22767</v>
      </c>
    </row>
    <row r="13" spans="1:38" x14ac:dyDescent="0.2">
      <c r="Y13" s="20"/>
      <c r="Z13" s="20"/>
      <c r="AA13" s="20"/>
      <c r="AB13" s="20"/>
      <c r="AC13" s="20"/>
      <c r="AD13" s="20"/>
      <c r="AE13" s="20"/>
      <c r="AF13" s="20"/>
      <c r="AG13" s="19"/>
      <c r="AH13" s="19"/>
      <c r="AI13" s="19"/>
      <c r="AJ13" s="19"/>
      <c r="AK13" s="19"/>
      <c r="AL13" s="19"/>
    </row>
    <row r="14" spans="1:38" x14ac:dyDescent="0.2">
      <c r="A14" t="s">
        <v>4</v>
      </c>
      <c r="B14" t="s">
        <v>5</v>
      </c>
      <c r="C14" t="s">
        <v>6</v>
      </c>
      <c r="D14">
        <v>2001</v>
      </c>
      <c r="E14">
        <v>2002</v>
      </c>
      <c r="F14">
        <v>2003</v>
      </c>
      <c r="G14">
        <v>2004</v>
      </c>
      <c r="H14">
        <v>2005</v>
      </c>
      <c r="I14">
        <v>2006</v>
      </c>
      <c r="J14">
        <v>2007</v>
      </c>
      <c r="K14">
        <v>2008</v>
      </c>
      <c r="L14">
        <v>2009</v>
      </c>
      <c r="M14">
        <v>2010</v>
      </c>
      <c r="N14">
        <v>2011</v>
      </c>
      <c r="O14">
        <v>2012</v>
      </c>
      <c r="P14">
        <v>2013</v>
      </c>
      <c r="Q14">
        <v>2014</v>
      </c>
      <c r="R14">
        <v>2015</v>
      </c>
      <c r="S14">
        <v>2016</v>
      </c>
      <c r="T14">
        <v>2017</v>
      </c>
      <c r="U14">
        <v>2018</v>
      </c>
      <c r="V14" t="s">
        <v>298</v>
      </c>
      <c r="W14" t="s">
        <v>299</v>
      </c>
      <c r="X14" t="s">
        <v>154</v>
      </c>
      <c r="AA14" s="291" t="s">
        <v>819</v>
      </c>
      <c r="AB14" s="292" t="s">
        <v>709</v>
      </c>
      <c r="AC14" s="292" t="s">
        <v>710</v>
      </c>
      <c r="AD14" s="292" t="s">
        <v>711</v>
      </c>
    </row>
    <row r="15" spans="1:38" ht="15" customHeight="1" x14ac:dyDescent="0.2">
      <c r="A15" t="s">
        <v>300</v>
      </c>
      <c r="B15" t="s">
        <v>7</v>
      </c>
      <c r="C15" t="s">
        <v>301</v>
      </c>
      <c r="D15" t="s">
        <v>16</v>
      </c>
      <c r="E15" t="s">
        <v>16</v>
      </c>
      <c r="F15" t="s">
        <v>16</v>
      </c>
      <c r="G15" t="s">
        <v>16</v>
      </c>
      <c r="H15" t="s">
        <v>16</v>
      </c>
      <c r="I15" t="s">
        <v>16</v>
      </c>
      <c r="J15" t="s">
        <v>16</v>
      </c>
      <c r="K15">
        <v>17</v>
      </c>
      <c r="L15" t="s">
        <v>16</v>
      </c>
      <c r="M15" t="s">
        <v>16</v>
      </c>
      <c r="N15" t="s">
        <v>16</v>
      </c>
      <c r="O15" t="s">
        <v>16</v>
      </c>
      <c r="P15" t="s">
        <v>16</v>
      </c>
      <c r="Q15" t="s">
        <v>16</v>
      </c>
      <c r="R15" t="s">
        <v>16</v>
      </c>
      <c r="S15" t="s">
        <v>16</v>
      </c>
      <c r="T15" t="s">
        <v>16</v>
      </c>
      <c r="U15" t="s">
        <v>16</v>
      </c>
      <c r="V15">
        <f>SUM(D15:U15)</f>
        <v>17</v>
      </c>
      <c r="W15" s="34">
        <f>V15/$V$63</f>
        <v>9.099611628575692E-7</v>
      </c>
      <c r="X15" s="29" t="s">
        <v>148</v>
      </c>
      <c r="AA15" t="s">
        <v>697</v>
      </c>
      <c r="AB15" s="24">
        <v>374768</v>
      </c>
      <c r="AC15" s="118">
        <f>+AB15/$AB$28</f>
        <v>0.27529265196746744</v>
      </c>
      <c r="AD15" t="s">
        <v>36</v>
      </c>
    </row>
    <row r="16" spans="1:38" x14ac:dyDescent="0.2">
      <c r="A16" t="s">
        <v>89</v>
      </c>
      <c r="B16" t="s">
        <v>7</v>
      </c>
      <c r="C16" t="s">
        <v>302</v>
      </c>
      <c r="D16" t="s">
        <v>16</v>
      </c>
      <c r="E16" t="s">
        <v>16</v>
      </c>
      <c r="F16" t="s">
        <v>16</v>
      </c>
      <c r="G16" t="s">
        <v>16</v>
      </c>
      <c r="H16" t="s">
        <v>16</v>
      </c>
      <c r="I16" t="s">
        <v>16</v>
      </c>
      <c r="J16" t="s">
        <v>16</v>
      </c>
      <c r="K16" t="s">
        <v>16</v>
      </c>
      <c r="L16" t="s">
        <v>16</v>
      </c>
      <c r="M16" t="s">
        <v>16</v>
      </c>
      <c r="N16" t="s">
        <v>16</v>
      </c>
      <c r="O16" t="s">
        <v>16</v>
      </c>
      <c r="P16" t="s">
        <v>16</v>
      </c>
      <c r="Q16" t="s">
        <v>16</v>
      </c>
      <c r="R16" t="s">
        <v>16</v>
      </c>
      <c r="S16" t="s">
        <v>16</v>
      </c>
      <c r="T16" t="s">
        <v>16</v>
      </c>
      <c r="U16" t="s">
        <v>16</v>
      </c>
      <c r="W16" s="34">
        <f>V16/$V$63</f>
        <v>0</v>
      </c>
      <c r="X16" s="29" t="s">
        <v>148</v>
      </c>
      <c r="AA16" t="s">
        <v>672</v>
      </c>
      <c r="AB16" s="24">
        <v>253436</v>
      </c>
      <c r="AC16" s="118">
        <f t="shared" ref="AC16:AC27" si="0">+AB16/$AB$28</f>
        <v>0.18616602416435524</v>
      </c>
      <c r="AD16" t="s">
        <v>265</v>
      </c>
    </row>
    <row r="17" spans="1:30" x14ac:dyDescent="0.2">
      <c r="A17" t="s">
        <v>53</v>
      </c>
      <c r="B17" t="s">
        <v>7</v>
      </c>
      <c r="C17" t="s">
        <v>303</v>
      </c>
      <c r="D17" t="s">
        <v>16</v>
      </c>
      <c r="E17" t="s">
        <v>16</v>
      </c>
      <c r="F17" t="s">
        <v>16</v>
      </c>
      <c r="G17" t="s">
        <v>16</v>
      </c>
      <c r="H17" t="s">
        <v>16</v>
      </c>
      <c r="I17" t="s">
        <v>16</v>
      </c>
      <c r="J17" t="s">
        <v>16</v>
      </c>
      <c r="K17" t="s">
        <v>16</v>
      </c>
      <c r="L17" t="s">
        <v>16</v>
      </c>
      <c r="M17" t="s">
        <v>16</v>
      </c>
      <c r="N17" t="s">
        <v>16</v>
      </c>
      <c r="O17" t="s">
        <v>16</v>
      </c>
      <c r="P17" t="s">
        <v>16</v>
      </c>
      <c r="Q17" t="s">
        <v>16</v>
      </c>
      <c r="R17" t="s">
        <v>16</v>
      </c>
      <c r="S17" t="s">
        <v>16</v>
      </c>
      <c r="T17" t="s">
        <v>16</v>
      </c>
      <c r="U17" t="s">
        <v>16</v>
      </c>
      <c r="W17" s="34">
        <f>V17/$V$63</f>
        <v>0</v>
      </c>
      <c r="X17" s="29" t="s">
        <v>148</v>
      </c>
      <c r="AA17" t="s">
        <v>689</v>
      </c>
      <c r="AB17" s="24">
        <v>186099</v>
      </c>
      <c r="AC17" s="118">
        <f t="shared" si="0"/>
        <v>0.13670240585774057</v>
      </c>
      <c r="AD17" t="s">
        <v>148</v>
      </c>
    </row>
    <row r="18" spans="1:30" x14ac:dyDescent="0.2">
      <c r="W18" s="35">
        <f>SUM(W15:W17)</f>
        <v>9.099611628575692E-7</v>
      </c>
      <c r="X18" s="29"/>
      <c r="AA18" t="s">
        <v>691</v>
      </c>
      <c r="AB18" s="24">
        <v>153057</v>
      </c>
      <c r="AC18" s="118">
        <f t="shared" si="0"/>
        <v>0.11243080367636689</v>
      </c>
      <c r="AD18" t="s">
        <v>246</v>
      </c>
    </row>
    <row r="19" spans="1:30" x14ac:dyDescent="0.2">
      <c r="W19" s="34"/>
      <c r="X19" s="29"/>
      <c r="AA19" t="s">
        <v>698</v>
      </c>
      <c r="AB19" s="24">
        <v>76838</v>
      </c>
      <c r="AC19" s="118">
        <f t="shared" si="0"/>
        <v>5.6442750693432374E-2</v>
      </c>
      <c r="AD19" t="s">
        <v>246</v>
      </c>
    </row>
    <row r="20" spans="1:30" ht="17" x14ac:dyDescent="0.2">
      <c r="A20" t="s">
        <v>34</v>
      </c>
      <c r="B20" t="s">
        <v>7</v>
      </c>
      <c r="C20" t="s">
        <v>304</v>
      </c>
      <c r="D20" t="s">
        <v>16</v>
      </c>
      <c r="E20" t="s">
        <v>16</v>
      </c>
      <c r="F20" t="s">
        <v>16</v>
      </c>
      <c r="G20" t="s">
        <v>16</v>
      </c>
      <c r="H20" t="s">
        <v>16</v>
      </c>
      <c r="I20" t="s">
        <v>16</v>
      </c>
      <c r="J20" t="s">
        <v>16</v>
      </c>
      <c r="K20" t="s">
        <v>16</v>
      </c>
      <c r="L20" t="s">
        <v>16</v>
      </c>
      <c r="M20" t="s">
        <v>16</v>
      </c>
      <c r="N20">
        <v>54571</v>
      </c>
      <c r="O20">
        <v>120103</v>
      </c>
      <c r="P20" t="s">
        <v>16</v>
      </c>
      <c r="Q20" t="s">
        <v>16</v>
      </c>
      <c r="R20" t="s">
        <v>16</v>
      </c>
      <c r="S20" t="s">
        <v>16</v>
      </c>
      <c r="T20" t="s">
        <v>16</v>
      </c>
      <c r="U20">
        <v>146627</v>
      </c>
      <c r="V20">
        <f t="shared" ref="V20:V28" si="1">SUM(D20:U20)</f>
        <v>321301</v>
      </c>
      <c r="W20" s="34">
        <f t="shared" ref="W20:W29" si="2">V20/$V$63</f>
        <v>1.7198319505135284E-2</v>
      </c>
      <c r="X20" s="19" t="s">
        <v>246</v>
      </c>
      <c r="AA20" t="s">
        <v>649</v>
      </c>
      <c r="AB20" s="24">
        <v>68739</v>
      </c>
      <c r="AC20" s="118">
        <f t="shared" si="0"/>
        <v>5.0493482911005597E-2</v>
      </c>
      <c r="AD20" t="s">
        <v>265</v>
      </c>
    </row>
    <row r="21" spans="1:30" ht="17" x14ac:dyDescent="0.2">
      <c r="A21" t="s">
        <v>49</v>
      </c>
      <c r="B21" t="s">
        <v>7</v>
      </c>
      <c r="C21" t="s">
        <v>305</v>
      </c>
      <c r="D21" t="s">
        <v>16</v>
      </c>
      <c r="E21" t="s">
        <v>16</v>
      </c>
      <c r="F21" t="s">
        <v>16</v>
      </c>
      <c r="G21" t="s">
        <v>16</v>
      </c>
      <c r="H21" t="s">
        <v>16</v>
      </c>
      <c r="I21" t="s">
        <v>16</v>
      </c>
      <c r="J21" t="s">
        <v>16</v>
      </c>
      <c r="K21" t="s">
        <v>16</v>
      </c>
      <c r="L21" t="s">
        <v>16</v>
      </c>
      <c r="M21" t="s">
        <v>16</v>
      </c>
      <c r="N21" t="s">
        <v>16</v>
      </c>
      <c r="O21" t="s">
        <v>16</v>
      </c>
      <c r="P21">
        <v>65101</v>
      </c>
      <c r="Q21">
        <v>162229</v>
      </c>
      <c r="R21" t="s">
        <v>16</v>
      </c>
      <c r="S21" t="s">
        <v>16</v>
      </c>
      <c r="T21" t="s">
        <v>16</v>
      </c>
      <c r="U21" t="s">
        <v>16</v>
      </c>
      <c r="V21">
        <f t="shared" si="1"/>
        <v>227330</v>
      </c>
      <c r="W21" s="34">
        <f t="shared" si="2"/>
        <v>1.2168321832494777E-2</v>
      </c>
      <c r="X21" s="19" t="s">
        <v>246</v>
      </c>
      <c r="AA21" t="s">
        <v>657</v>
      </c>
      <c r="AB21" s="24">
        <v>56113</v>
      </c>
      <c r="AC21" s="118">
        <f t="shared" si="0"/>
        <v>4.1218824925955529E-2</v>
      </c>
      <c r="AD21" t="s">
        <v>265</v>
      </c>
    </row>
    <row r="22" spans="1:30" ht="17" x14ac:dyDescent="0.2">
      <c r="A22" t="s">
        <v>131</v>
      </c>
      <c r="B22" t="s">
        <v>7</v>
      </c>
      <c r="C22" t="s">
        <v>306</v>
      </c>
      <c r="D22" t="s">
        <v>16</v>
      </c>
      <c r="E22" t="s">
        <v>16</v>
      </c>
      <c r="F22" t="s">
        <v>16</v>
      </c>
      <c r="G22" t="s">
        <v>16</v>
      </c>
      <c r="H22" t="s">
        <v>16</v>
      </c>
      <c r="I22" t="s">
        <v>16</v>
      </c>
      <c r="J22" t="s">
        <v>16</v>
      </c>
      <c r="K22" t="s">
        <v>16</v>
      </c>
      <c r="L22" t="s">
        <v>16</v>
      </c>
      <c r="M22" t="s">
        <v>16</v>
      </c>
      <c r="N22" t="s">
        <v>16</v>
      </c>
      <c r="O22" t="s">
        <v>16</v>
      </c>
      <c r="P22" t="s">
        <v>16</v>
      </c>
      <c r="Q22" t="s">
        <v>16</v>
      </c>
      <c r="R22">
        <v>1022</v>
      </c>
      <c r="S22" t="s">
        <v>16</v>
      </c>
      <c r="T22" t="s">
        <v>16</v>
      </c>
      <c r="U22">
        <v>123689</v>
      </c>
      <c r="V22">
        <f t="shared" si="1"/>
        <v>124711</v>
      </c>
      <c r="W22" s="34">
        <f t="shared" si="2"/>
        <v>6.6754215635959008E-3</v>
      </c>
      <c r="X22" s="19" t="s">
        <v>246</v>
      </c>
      <c r="AA22" t="s">
        <v>735</v>
      </c>
      <c r="AB22" s="24">
        <v>49604</v>
      </c>
      <c r="AC22" s="118">
        <f t="shared" si="0"/>
        <v>3.6437520567909359E-2</v>
      </c>
      <c r="AD22" t="s">
        <v>246</v>
      </c>
    </row>
    <row r="23" spans="1:30" ht="17" x14ac:dyDescent="0.2">
      <c r="A23" t="s">
        <v>172</v>
      </c>
      <c r="B23" t="s">
        <v>7</v>
      </c>
      <c r="C23" t="s">
        <v>307</v>
      </c>
      <c r="D23" t="s">
        <v>16</v>
      </c>
      <c r="E23" t="s">
        <v>16</v>
      </c>
      <c r="F23" t="s">
        <v>16</v>
      </c>
      <c r="G23" t="s">
        <v>16</v>
      </c>
      <c r="H23" t="s">
        <v>16</v>
      </c>
      <c r="I23" t="s">
        <v>16</v>
      </c>
      <c r="J23" t="s">
        <v>16</v>
      </c>
      <c r="K23" t="s">
        <v>16</v>
      </c>
      <c r="L23" t="s">
        <v>16</v>
      </c>
      <c r="M23" t="s">
        <v>16</v>
      </c>
      <c r="N23" t="s">
        <v>16</v>
      </c>
      <c r="O23" t="s">
        <v>16</v>
      </c>
      <c r="P23" t="s">
        <v>16</v>
      </c>
      <c r="Q23" t="s">
        <v>16</v>
      </c>
      <c r="R23" t="s">
        <v>16</v>
      </c>
      <c r="S23" t="s">
        <v>16</v>
      </c>
      <c r="T23" t="s">
        <v>16</v>
      </c>
      <c r="U23">
        <v>118011</v>
      </c>
      <c r="V23">
        <f t="shared" si="1"/>
        <v>118011</v>
      </c>
      <c r="W23" s="34">
        <f t="shared" si="2"/>
        <v>6.3167898111755648E-3</v>
      </c>
      <c r="X23" s="19" t="s">
        <v>246</v>
      </c>
      <c r="AA23" t="s">
        <v>679</v>
      </c>
      <c r="AB23" s="24">
        <v>36376</v>
      </c>
      <c r="AC23" s="118">
        <f t="shared" si="0"/>
        <v>2.6720652531615815E-2</v>
      </c>
      <c r="AD23" t="s">
        <v>246</v>
      </c>
    </row>
    <row r="24" spans="1:30" ht="17" x14ac:dyDescent="0.2">
      <c r="A24" t="s">
        <v>20</v>
      </c>
      <c r="B24" t="s">
        <v>7</v>
      </c>
      <c r="C24" t="s">
        <v>308</v>
      </c>
      <c r="D24" t="s">
        <v>16</v>
      </c>
      <c r="E24" t="s">
        <v>16</v>
      </c>
      <c r="F24" t="s">
        <v>16</v>
      </c>
      <c r="G24" t="s">
        <v>16</v>
      </c>
      <c r="H24" t="s">
        <v>16</v>
      </c>
      <c r="I24" t="s">
        <v>16</v>
      </c>
      <c r="J24" t="s">
        <v>16</v>
      </c>
      <c r="K24" t="s">
        <v>16</v>
      </c>
      <c r="L24" t="s">
        <v>16</v>
      </c>
      <c r="M24" t="s">
        <v>16</v>
      </c>
      <c r="N24" t="s">
        <v>16</v>
      </c>
      <c r="O24" t="s">
        <v>16</v>
      </c>
      <c r="P24" t="s">
        <v>16</v>
      </c>
      <c r="Q24" t="s">
        <v>16</v>
      </c>
      <c r="R24" t="s">
        <v>16</v>
      </c>
      <c r="S24" t="s">
        <v>16</v>
      </c>
      <c r="T24" t="s">
        <v>16</v>
      </c>
      <c r="U24">
        <v>96848</v>
      </c>
      <c r="V24">
        <f t="shared" si="1"/>
        <v>96848</v>
      </c>
      <c r="W24" s="34">
        <f t="shared" si="2"/>
        <v>5.1839952176723448E-3</v>
      </c>
      <c r="X24" s="19" t="s">
        <v>246</v>
      </c>
      <c r="AA24" t="s">
        <v>667</v>
      </c>
      <c r="AB24" s="24">
        <v>36376</v>
      </c>
      <c r="AC24" s="118">
        <f t="shared" si="0"/>
        <v>2.6720652531615815E-2</v>
      </c>
      <c r="AD24" t="s">
        <v>246</v>
      </c>
    </row>
    <row r="25" spans="1:30" ht="17" x14ac:dyDescent="0.2">
      <c r="A25" t="s">
        <v>164</v>
      </c>
      <c r="B25" t="s">
        <v>7</v>
      </c>
      <c r="C25" t="s">
        <v>309</v>
      </c>
      <c r="D25" t="s">
        <v>16</v>
      </c>
      <c r="E25" t="s">
        <v>16</v>
      </c>
      <c r="F25" t="s">
        <v>16</v>
      </c>
      <c r="G25" t="s">
        <v>16</v>
      </c>
      <c r="H25" t="s">
        <v>16</v>
      </c>
      <c r="I25" t="s">
        <v>16</v>
      </c>
      <c r="J25" t="s">
        <v>16</v>
      </c>
      <c r="K25" t="s">
        <v>16</v>
      </c>
      <c r="L25" t="s">
        <v>16</v>
      </c>
      <c r="M25" t="s">
        <v>16</v>
      </c>
      <c r="N25" t="s">
        <v>16</v>
      </c>
      <c r="O25" t="s">
        <v>16</v>
      </c>
      <c r="P25" t="s">
        <v>16</v>
      </c>
      <c r="Q25" t="s">
        <v>16</v>
      </c>
      <c r="R25">
        <v>52085</v>
      </c>
      <c r="S25" t="s">
        <v>16</v>
      </c>
      <c r="T25" t="s">
        <v>16</v>
      </c>
      <c r="U25" t="s">
        <v>16</v>
      </c>
      <c r="V25">
        <f t="shared" si="1"/>
        <v>52085</v>
      </c>
      <c r="W25" s="34">
        <f t="shared" si="2"/>
        <v>2.7879604216139112E-3</v>
      </c>
      <c r="X25" s="19" t="s">
        <v>246</v>
      </c>
      <c r="AA25" t="s">
        <v>666</v>
      </c>
      <c r="AB25" s="24">
        <v>31581</v>
      </c>
      <c r="AC25" s="118">
        <f t="shared" si="0"/>
        <v>2.3198398053688118E-2</v>
      </c>
      <c r="AD25" t="s">
        <v>246</v>
      </c>
    </row>
    <row r="26" spans="1:30" ht="17" x14ac:dyDescent="0.2">
      <c r="A26" t="s">
        <v>75</v>
      </c>
      <c r="B26" t="s">
        <v>7</v>
      </c>
      <c r="C26" t="s">
        <v>310</v>
      </c>
      <c r="D26" t="s">
        <v>16</v>
      </c>
      <c r="E26" t="s">
        <v>16</v>
      </c>
      <c r="F26" t="s">
        <v>16</v>
      </c>
      <c r="G26" t="s">
        <v>16</v>
      </c>
      <c r="H26" t="s">
        <v>16</v>
      </c>
      <c r="I26" t="s">
        <v>16</v>
      </c>
      <c r="J26" t="s">
        <v>16</v>
      </c>
      <c r="K26">
        <v>18</v>
      </c>
      <c r="L26" t="s">
        <v>16</v>
      </c>
      <c r="M26" t="s">
        <v>16</v>
      </c>
      <c r="N26" t="s">
        <v>16</v>
      </c>
      <c r="O26">
        <v>20</v>
      </c>
      <c r="P26" t="s">
        <v>16</v>
      </c>
      <c r="Q26" t="s">
        <v>16</v>
      </c>
      <c r="R26">
        <v>36081</v>
      </c>
      <c r="S26" t="s">
        <v>16</v>
      </c>
      <c r="T26" t="s">
        <v>16</v>
      </c>
      <c r="U26" t="s">
        <v>16</v>
      </c>
      <c r="V26">
        <f t="shared" si="1"/>
        <v>36119</v>
      </c>
      <c r="W26" s="34">
        <f t="shared" si="2"/>
        <v>1.933346308308973E-3</v>
      </c>
      <c r="X26" s="19" t="s">
        <v>246</v>
      </c>
      <c r="AA26" t="s">
        <v>701</v>
      </c>
      <c r="AB26" s="24">
        <v>20587</v>
      </c>
      <c r="AC26" s="118">
        <f t="shared" si="0"/>
        <v>1.5122555357058906E-2</v>
      </c>
      <c r="AD26" t="s">
        <v>26</v>
      </c>
    </row>
    <row r="27" spans="1:30" ht="17" x14ac:dyDescent="0.2">
      <c r="A27" t="s">
        <v>101</v>
      </c>
      <c r="B27" t="s">
        <v>7</v>
      </c>
      <c r="C27" t="s">
        <v>311</v>
      </c>
      <c r="D27" t="s">
        <v>16</v>
      </c>
      <c r="E27" t="s">
        <v>16</v>
      </c>
      <c r="F27" t="s">
        <v>16</v>
      </c>
      <c r="G27" t="s">
        <v>16</v>
      </c>
      <c r="H27" t="s">
        <v>16</v>
      </c>
      <c r="I27" t="s">
        <v>16</v>
      </c>
      <c r="J27" t="s">
        <v>16</v>
      </c>
      <c r="K27" t="s">
        <v>16</v>
      </c>
      <c r="L27" t="s">
        <v>16</v>
      </c>
      <c r="M27" t="s">
        <v>16</v>
      </c>
      <c r="N27" t="s">
        <v>16</v>
      </c>
      <c r="O27" t="s">
        <v>16</v>
      </c>
      <c r="P27">
        <v>19941</v>
      </c>
      <c r="Q27" t="s">
        <v>16</v>
      </c>
      <c r="R27" t="s">
        <v>16</v>
      </c>
      <c r="S27" t="s">
        <v>16</v>
      </c>
      <c r="T27" t="s">
        <v>16</v>
      </c>
      <c r="U27" t="s">
        <v>16</v>
      </c>
      <c r="V27">
        <f t="shared" si="1"/>
        <v>19941</v>
      </c>
      <c r="W27" s="34">
        <f t="shared" si="2"/>
        <v>1.0673844440319286E-3</v>
      </c>
      <c r="X27" s="19" t="s">
        <v>246</v>
      </c>
      <c r="AA27" t="s">
        <v>686</v>
      </c>
      <c r="AB27" s="24">
        <v>17770</v>
      </c>
      <c r="AC27" s="118">
        <f t="shared" si="0"/>
        <v>1.305327676178835E-2</v>
      </c>
      <c r="AD27" t="s">
        <v>265</v>
      </c>
    </row>
    <row r="28" spans="1:30" ht="17" x14ac:dyDescent="0.2">
      <c r="A28" t="s">
        <v>312</v>
      </c>
      <c r="B28" t="s">
        <v>7</v>
      </c>
      <c r="C28" t="s">
        <v>313</v>
      </c>
      <c r="D28" t="s">
        <v>16</v>
      </c>
      <c r="E28" t="s">
        <v>16</v>
      </c>
      <c r="F28" t="s">
        <v>16</v>
      </c>
      <c r="G28" t="s">
        <v>16</v>
      </c>
      <c r="H28" t="s">
        <v>16</v>
      </c>
      <c r="I28" t="s">
        <v>16</v>
      </c>
      <c r="J28" t="s">
        <v>16</v>
      </c>
      <c r="K28" t="s">
        <v>16</v>
      </c>
      <c r="L28" t="s">
        <v>16</v>
      </c>
      <c r="M28" t="s">
        <v>16</v>
      </c>
      <c r="N28" t="s">
        <v>16</v>
      </c>
      <c r="O28" t="s">
        <v>16</v>
      </c>
      <c r="P28" t="s">
        <v>16</v>
      </c>
      <c r="Q28">
        <v>50</v>
      </c>
      <c r="R28" t="s">
        <v>16</v>
      </c>
      <c r="S28" t="s">
        <v>16</v>
      </c>
      <c r="T28" t="s">
        <v>16</v>
      </c>
      <c r="U28" t="s">
        <v>16</v>
      </c>
      <c r="V28">
        <f t="shared" si="1"/>
        <v>50</v>
      </c>
      <c r="W28" s="34">
        <f t="shared" si="2"/>
        <v>2.6763563613457918E-6</v>
      </c>
      <c r="X28" s="19" t="s">
        <v>246</v>
      </c>
      <c r="AB28" s="293">
        <f>SUM(AB15:AB27)</f>
        <v>1361344</v>
      </c>
    </row>
    <row r="29" spans="1:30" ht="17" x14ac:dyDescent="0.2">
      <c r="A29" t="s">
        <v>103</v>
      </c>
      <c r="B29" t="s">
        <v>7</v>
      </c>
      <c r="C29" t="s">
        <v>314</v>
      </c>
      <c r="D29" t="s">
        <v>16</v>
      </c>
      <c r="E29" t="s">
        <v>16</v>
      </c>
      <c r="F29" t="s">
        <v>16</v>
      </c>
      <c r="G29" t="s">
        <v>16</v>
      </c>
      <c r="H29" t="s">
        <v>16</v>
      </c>
      <c r="I29" t="s">
        <v>16</v>
      </c>
      <c r="J29" t="s">
        <v>16</v>
      </c>
      <c r="K29" t="s">
        <v>16</v>
      </c>
      <c r="L29" t="s">
        <v>16</v>
      </c>
      <c r="M29" t="s">
        <v>16</v>
      </c>
      <c r="N29" t="s">
        <v>16</v>
      </c>
      <c r="O29" t="s">
        <v>16</v>
      </c>
      <c r="P29" t="s">
        <v>16</v>
      </c>
      <c r="Q29" t="s">
        <v>16</v>
      </c>
      <c r="R29" t="s">
        <v>16</v>
      </c>
      <c r="S29" t="s">
        <v>16</v>
      </c>
      <c r="T29" t="s">
        <v>16</v>
      </c>
      <c r="U29" t="s">
        <v>16</v>
      </c>
      <c r="W29" s="34">
        <f t="shared" si="2"/>
        <v>0</v>
      </c>
      <c r="X29" s="19" t="s">
        <v>246</v>
      </c>
    </row>
    <row r="30" spans="1:30" x14ac:dyDescent="0.2">
      <c r="W30" s="7">
        <f>SUM(W20:W29)</f>
        <v>5.3334215460390022E-2</v>
      </c>
      <c r="X30" s="19"/>
      <c r="AB30" t="s">
        <v>148</v>
      </c>
      <c r="AC30" s="118">
        <f>+SUMIF($AD$15:$AD$27,AB30,$AC$15:$AC$27)</f>
        <v>0.13670240585774057</v>
      </c>
    </row>
    <row r="31" spans="1:30" x14ac:dyDescent="0.2">
      <c r="W31" s="34"/>
      <c r="X31" s="19"/>
      <c r="AB31" t="s">
        <v>265</v>
      </c>
      <c r="AC31" s="118">
        <f t="shared" ref="AC31:AC43" si="3">+SUMIF($AD$15:$AD$27,AB31,$AC$15:$AC$27)</f>
        <v>0.2909316087631047</v>
      </c>
    </row>
    <row r="32" spans="1:30" ht="17" x14ac:dyDescent="0.2">
      <c r="A32" t="s">
        <v>27</v>
      </c>
      <c r="B32" t="s">
        <v>7</v>
      </c>
      <c r="C32" t="s">
        <v>315</v>
      </c>
      <c r="D32">
        <v>60047</v>
      </c>
      <c r="E32" t="s">
        <v>16</v>
      </c>
      <c r="F32">
        <v>175522</v>
      </c>
      <c r="G32">
        <v>481259</v>
      </c>
      <c r="H32">
        <v>566562</v>
      </c>
      <c r="I32">
        <v>190666</v>
      </c>
      <c r="J32">
        <v>11440</v>
      </c>
      <c r="K32" t="s">
        <v>16</v>
      </c>
      <c r="L32" t="s">
        <v>16</v>
      </c>
      <c r="M32" t="s">
        <v>16</v>
      </c>
      <c r="N32" t="s">
        <v>16</v>
      </c>
      <c r="O32">
        <v>126213</v>
      </c>
      <c r="P32">
        <v>108700</v>
      </c>
      <c r="Q32">
        <v>50469</v>
      </c>
      <c r="R32">
        <v>99614</v>
      </c>
      <c r="S32" t="s">
        <v>16</v>
      </c>
      <c r="T32" t="s">
        <v>16</v>
      </c>
      <c r="U32">
        <v>12133</v>
      </c>
      <c r="V32">
        <f>SUM(D32:U32)</f>
        <v>1882625</v>
      </c>
      <c r="W32" s="7">
        <f>V32/$V$63</f>
        <v>0.10077150789557243</v>
      </c>
      <c r="X32" s="20" t="s">
        <v>26</v>
      </c>
      <c r="AB32" t="s">
        <v>26</v>
      </c>
      <c r="AC32" s="118">
        <f t="shared" si="3"/>
        <v>1.5122555357058906E-2</v>
      </c>
    </row>
    <row r="33" spans="1:29" x14ac:dyDescent="0.2">
      <c r="W33" s="7"/>
      <c r="X33" s="20"/>
      <c r="AB33" t="s">
        <v>36</v>
      </c>
      <c r="AC33" s="118">
        <f t="shared" si="3"/>
        <v>0.27529265196746744</v>
      </c>
    </row>
    <row r="34" spans="1:29" x14ac:dyDescent="0.2">
      <c r="W34" s="7"/>
      <c r="X34" s="20"/>
      <c r="AB34" t="s">
        <v>65</v>
      </c>
      <c r="AC34" s="118">
        <f t="shared" si="3"/>
        <v>0</v>
      </c>
    </row>
    <row r="35" spans="1:29" ht="17" x14ac:dyDescent="0.2">
      <c r="A35" t="s">
        <v>37</v>
      </c>
      <c r="B35" t="s">
        <v>7</v>
      </c>
      <c r="C35" t="s">
        <v>316</v>
      </c>
      <c r="D35" t="s">
        <v>16</v>
      </c>
      <c r="E35" t="s">
        <v>16</v>
      </c>
      <c r="F35" t="s">
        <v>16</v>
      </c>
      <c r="G35" t="s">
        <v>16</v>
      </c>
      <c r="H35" t="s">
        <v>16</v>
      </c>
      <c r="I35" t="s">
        <v>16</v>
      </c>
      <c r="J35" t="s">
        <v>16</v>
      </c>
      <c r="K35" t="s">
        <v>16</v>
      </c>
      <c r="L35" t="s">
        <v>16</v>
      </c>
      <c r="M35" t="s">
        <v>16</v>
      </c>
      <c r="N35" t="s">
        <v>16</v>
      </c>
      <c r="O35">
        <v>126032</v>
      </c>
      <c r="P35" t="s">
        <v>16</v>
      </c>
      <c r="Q35" t="s">
        <v>16</v>
      </c>
      <c r="R35" t="s">
        <v>16</v>
      </c>
      <c r="S35" t="s">
        <v>16</v>
      </c>
      <c r="T35" t="s">
        <v>16</v>
      </c>
      <c r="U35" t="s">
        <v>16</v>
      </c>
      <c r="V35">
        <f>SUM(D35:U35)</f>
        <v>126032</v>
      </c>
      <c r="W35" s="7">
        <f>V35/$V$63</f>
        <v>6.7461308986626568E-3</v>
      </c>
      <c r="X35" s="20" t="s">
        <v>36</v>
      </c>
      <c r="AB35" t="s">
        <v>267</v>
      </c>
      <c r="AC35" s="118">
        <f t="shared" si="3"/>
        <v>0</v>
      </c>
    </row>
    <row r="36" spans="1:29" x14ac:dyDescent="0.2">
      <c r="W36" s="7"/>
      <c r="X36" s="20"/>
      <c r="AB36" t="s">
        <v>266</v>
      </c>
      <c r="AC36" s="118">
        <f t="shared" si="3"/>
        <v>0</v>
      </c>
    </row>
    <row r="37" spans="1:29" x14ac:dyDescent="0.2">
      <c r="W37" s="7"/>
      <c r="X37" s="20"/>
      <c r="AB37" t="s">
        <v>77</v>
      </c>
      <c r="AC37" s="118">
        <f t="shared" si="3"/>
        <v>0</v>
      </c>
    </row>
    <row r="38" spans="1:29" x14ac:dyDescent="0.2">
      <c r="A38" t="s">
        <v>66</v>
      </c>
      <c r="B38" t="s">
        <v>7</v>
      </c>
      <c r="C38" t="s">
        <v>317</v>
      </c>
      <c r="D38" t="s">
        <v>16</v>
      </c>
      <c r="E38" t="s">
        <v>16</v>
      </c>
      <c r="F38" t="s">
        <v>16</v>
      </c>
      <c r="G38" t="s">
        <v>16</v>
      </c>
      <c r="H38" t="s">
        <v>16</v>
      </c>
      <c r="I38" t="s">
        <v>16</v>
      </c>
      <c r="J38" t="s">
        <v>16</v>
      </c>
      <c r="K38" t="s">
        <v>16</v>
      </c>
      <c r="L38" t="s">
        <v>16</v>
      </c>
      <c r="M38" t="s">
        <v>16</v>
      </c>
      <c r="N38" t="s">
        <v>16</v>
      </c>
      <c r="O38" t="s">
        <v>16</v>
      </c>
      <c r="P38" t="s">
        <v>16</v>
      </c>
      <c r="Q38" t="s">
        <v>16</v>
      </c>
      <c r="R38" t="s">
        <v>16</v>
      </c>
      <c r="S38" t="s">
        <v>16</v>
      </c>
      <c r="T38" t="s">
        <v>16</v>
      </c>
      <c r="U38" t="s">
        <v>16</v>
      </c>
      <c r="W38" s="7">
        <f>V38/$V$63</f>
        <v>0</v>
      </c>
      <c r="X38" s="29" t="s">
        <v>65</v>
      </c>
      <c r="AB38" t="s">
        <v>246</v>
      </c>
      <c r="AC38" s="118">
        <f t="shared" si="3"/>
        <v>0.28195077805462837</v>
      </c>
    </row>
    <row r="39" spans="1:29" x14ac:dyDescent="0.2">
      <c r="W39" s="7"/>
      <c r="X39" s="29"/>
      <c r="AB39" t="s">
        <v>153</v>
      </c>
      <c r="AC39" s="118">
        <f t="shared" si="3"/>
        <v>0</v>
      </c>
    </row>
    <row r="40" spans="1:29" x14ac:dyDescent="0.2">
      <c r="W40" s="7"/>
      <c r="X40" s="29"/>
      <c r="AB40" t="s">
        <v>248</v>
      </c>
      <c r="AC40" s="118">
        <f t="shared" si="3"/>
        <v>0</v>
      </c>
    </row>
    <row r="41" spans="1:29" ht="17" x14ac:dyDescent="0.2">
      <c r="A41" t="s">
        <v>78</v>
      </c>
      <c r="B41" t="s">
        <v>7</v>
      </c>
      <c r="C41" t="s">
        <v>318</v>
      </c>
      <c r="D41" t="s">
        <v>16</v>
      </c>
      <c r="E41" t="s">
        <v>16</v>
      </c>
      <c r="F41" t="s">
        <v>16</v>
      </c>
      <c r="G41" t="s">
        <v>16</v>
      </c>
      <c r="H41" t="s">
        <v>16</v>
      </c>
      <c r="I41" t="s">
        <v>16</v>
      </c>
      <c r="J41" t="s">
        <v>16</v>
      </c>
      <c r="K41" t="s">
        <v>16</v>
      </c>
      <c r="L41" t="s">
        <v>16</v>
      </c>
      <c r="M41" t="s">
        <v>16</v>
      </c>
      <c r="N41">
        <v>75921</v>
      </c>
      <c r="O41" t="s">
        <v>16</v>
      </c>
      <c r="P41" t="s">
        <v>16</v>
      </c>
      <c r="Q41" t="s">
        <v>16</v>
      </c>
      <c r="R41">
        <v>34</v>
      </c>
      <c r="S41" t="s">
        <v>16</v>
      </c>
      <c r="T41" t="s">
        <v>16</v>
      </c>
      <c r="U41">
        <v>42439</v>
      </c>
      <c r="V41">
        <f>SUM(D41:U41)</f>
        <v>118394</v>
      </c>
      <c r="W41" s="7">
        <f>V41/$V$63</f>
        <v>6.3372907009034739E-3</v>
      </c>
      <c r="X41" s="20" t="s">
        <v>77</v>
      </c>
      <c r="AB41" t="s">
        <v>86</v>
      </c>
      <c r="AC41" s="118">
        <f t="shared" si="3"/>
        <v>0</v>
      </c>
    </row>
    <row r="42" spans="1:29" x14ac:dyDescent="0.2">
      <c r="W42" s="7"/>
      <c r="X42" s="20"/>
      <c r="AB42" t="s">
        <v>191</v>
      </c>
      <c r="AC42" s="118">
        <f t="shared" si="3"/>
        <v>0</v>
      </c>
    </row>
    <row r="43" spans="1:29" x14ac:dyDescent="0.2">
      <c r="W43" s="34"/>
      <c r="X43" s="20"/>
      <c r="AB43" t="s">
        <v>31</v>
      </c>
      <c r="AC43" s="118">
        <f t="shared" si="3"/>
        <v>0</v>
      </c>
    </row>
    <row r="44" spans="1:29" ht="33" customHeight="1" x14ac:dyDescent="0.2">
      <c r="A44" t="s">
        <v>29</v>
      </c>
      <c r="B44" t="s">
        <v>7</v>
      </c>
      <c r="C44" t="s">
        <v>319</v>
      </c>
      <c r="D44" t="s">
        <v>16</v>
      </c>
      <c r="E44" t="s">
        <v>16</v>
      </c>
      <c r="F44" t="s">
        <v>16</v>
      </c>
      <c r="G44" t="s">
        <v>16</v>
      </c>
      <c r="H44">
        <v>78114</v>
      </c>
      <c r="I44" t="s">
        <v>16</v>
      </c>
      <c r="J44" t="s">
        <v>16</v>
      </c>
      <c r="K44" t="s">
        <v>16</v>
      </c>
      <c r="L44" t="s">
        <v>16</v>
      </c>
      <c r="M44" t="s">
        <v>16</v>
      </c>
      <c r="N44" t="s">
        <v>16</v>
      </c>
      <c r="O44" t="s">
        <v>16</v>
      </c>
      <c r="P44" t="s">
        <v>16</v>
      </c>
      <c r="Q44" t="s">
        <v>16</v>
      </c>
      <c r="R44" t="s">
        <v>16</v>
      </c>
      <c r="S44" t="s">
        <v>16</v>
      </c>
      <c r="T44" t="s">
        <v>16</v>
      </c>
      <c r="U44" t="s">
        <v>16</v>
      </c>
      <c r="V44">
        <f>SUM(D44:U44)</f>
        <v>78114</v>
      </c>
      <c r="W44" s="34">
        <f>V44/$V$63</f>
        <v>4.1812180162033039E-3</v>
      </c>
      <c r="X44" s="19" t="s">
        <v>191</v>
      </c>
      <c r="AC44" s="297">
        <f>SUM(AC30:AC43)</f>
        <v>1</v>
      </c>
    </row>
    <row r="45" spans="1:29" ht="34" x14ac:dyDescent="0.2">
      <c r="A45" t="s">
        <v>116</v>
      </c>
      <c r="B45" t="s">
        <v>7</v>
      </c>
      <c r="C45" t="s">
        <v>320</v>
      </c>
      <c r="D45" t="s">
        <v>16</v>
      </c>
      <c r="E45" t="s">
        <v>16</v>
      </c>
      <c r="F45" t="s">
        <v>16</v>
      </c>
      <c r="G45" t="s">
        <v>16</v>
      </c>
      <c r="H45" t="s">
        <v>16</v>
      </c>
      <c r="I45" t="s">
        <v>16</v>
      </c>
      <c r="J45" t="s">
        <v>16</v>
      </c>
      <c r="K45" t="s">
        <v>16</v>
      </c>
      <c r="L45" t="s">
        <v>16</v>
      </c>
      <c r="M45" t="s">
        <v>16</v>
      </c>
      <c r="N45" t="s">
        <v>16</v>
      </c>
      <c r="O45" t="s">
        <v>16</v>
      </c>
      <c r="P45" t="s">
        <v>16</v>
      </c>
      <c r="Q45" t="s">
        <v>16</v>
      </c>
      <c r="R45" t="s">
        <v>16</v>
      </c>
      <c r="S45" t="s">
        <v>16</v>
      </c>
      <c r="T45">
        <v>12321</v>
      </c>
      <c r="U45" t="s">
        <v>16</v>
      </c>
      <c r="V45">
        <f>SUM(D45:U45)</f>
        <v>12321</v>
      </c>
      <c r="W45" s="34">
        <f>V45/$V$63</f>
        <v>6.5950773456282998E-4</v>
      </c>
      <c r="X45" s="19" t="s">
        <v>191</v>
      </c>
    </row>
    <row r="46" spans="1:29" ht="34" x14ac:dyDescent="0.2">
      <c r="A46" t="s">
        <v>110</v>
      </c>
      <c r="B46" t="s">
        <v>7</v>
      </c>
      <c r="C46" t="s">
        <v>321</v>
      </c>
      <c r="D46" t="s">
        <v>16</v>
      </c>
      <c r="E46" t="s">
        <v>16</v>
      </c>
      <c r="F46" t="s">
        <v>16</v>
      </c>
      <c r="G46" t="s">
        <v>16</v>
      </c>
      <c r="H46" t="s">
        <v>16</v>
      </c>
      <c r="I46" t="s">
        <v>16</v>
      </c>
      <c r="J46" t="s">
        <v>16</v>
      </c>
      <c r="K46" t="s">
        <v>16</v>
      </c>
      <c r="L46" t="s">
        <v>16</v>
      </c>
      <c r="M46" t="s">
        <v>16</v>
      </c>
      <c r="N46" t="s">
        <v>16</v>
      </c>
      <c r="O46" t="s">
        <v>16</v>
      </c>
      <c r="P46" t="s">
        <v>16</v>
      </c>
      <c r="Q46" t="s">
        <v>16</v>
      </c>
      <c r="R46" t="s">
        <v>16</v>
      </c>
      <c r="S46" t="s">
        <v>16</v>
      </c>
      <c r="T46" t="s">
        <v>16</v>
      </c>
      <c r="U46" t="s">
        <v>16</v>
      </c>
      <c r="W46" s="34">
        <f>V46/$V$63</f>
        <v>0</v>
      </c>
      <c r="X46" s="19" t="s">
        <v>191</v>
      </c>
    </row>
    <row r="47" spans="1:29" x14ac:dyDescent="0.2">
      <c r="W47" s="7">
        <f>SUM(W44:W46)</f>
        <v>4.8407257507661339E-3</v>
      </c>
      <c r="X47" s="19"/>
    </row>
    <row r="48" spans="1:29" x14ac:dyDescent="0.2">
      <c r="W48" s="34"/>
      <c r="X48" s="19"/>
    </row>
    <row r="49" spans="1:24" ht="17" x14ac:dyDescent="0.2">
      <c r="A49" t="s">
        <v>107</v>
      </c>
      <c r="B49" t="s">
        <v>7</v>
      </c>
      <c r="C49" t="s">
        <v>322</v>
      </c>
      <c r="D49" t="s">
        <v>16</v>
      </c>
      <c r="E49" t="s">
        <v>16</v>
      </c>
      <c r="F49" t="s">
        <v>16</v>
      </c>
      <c r="G49" t="s">
        <v>16</v>
      </c>
      <c r="H49" t="s">
        <v>16</v>
      </c>
      <c r="I49" t="s">
        <v>16</v>
      </c>
      <c r="J49">
        <v>394266</v>
      </c>
      <c r="K49">
        <v>1639676</v>
      </c>
      <c r="L49">
        <v>822814</v>
      </c>
      <c r="M49">
        <v>1808035</v>
      </c>
      <c r="N49">
        <v>976344</v>
      </c>
      <c r="O49">
        <v>377115</v>
      </c>
      <c r="P49">
        <v>369727</v>
      </c>
      <c r="Q49">
        <v>143664</v>
      </c>
      <c r="R49">
        <v>99094</v>
      </c>
      <c r="S49" t="s">
        <v>16</v>
      </c>
      <c r="T49">
        <v>268666</v>
      </c>
      <c r="U49">
        <v>232809</v>
      </c>
      <c r="V49">
        <f t="shared" ref="V49:V60" si="4">SUM(D49:U49)</f>
        <v>7132210</v>
      </c>
      <c r="W49" s="34">
        <f t="shared" ref="W49:W61" si="5">V49/$V$63</f>
        <v>0.38176671207908142</v>
      </c>
      <c r="X49" s="20" t="s">
        <v>265</v>
      </c>
    </row>
    <row r="50" spans="1:24" ht="17" x14ac:dyDescent="0.2">
      <c r="A50" t="s">
        <v>139</v>
      </c>
      <c r="B50" t="s">
        <v>7</v>
      </c>
      <c r="C50" t="s">
        <v>323</v>
      </c>
      <c r="D50" t="s">
        <v>16</v>
      </c>
      <c r="E50" t="s">
        <v>16</v>
      </c>
      <c r="F50" t="s">
        <v>16</v>
      </c>
      <c r="G50" t="s">
        <v>16</v>
      </c>
      <c r="H50" t="s">
        <v>16</v>
      </c>
      <c r="I50" t="s">
        <v>16</v>
      </c>
      <c r="J50" t="s">
        <v>16</v>
      </c>
      <c r="K50" t="s">
        <v>16</v>
      </c>
      <c r="L50" t="s">
        <v>16</v>
      </c>
      <c r="M50">
        <v>151817</v>
      </c>
      <c r="N50">
        <v>413558</v>
      </c>
      <c r="O50">
        <v>587923</v>
      </c>
      <c r="P50">
        <v>1091118</v>
      </c>
      <c r="Q50">
        <v>805609</v>
      </c>
      <c r="R50">
        <v>266767</v>
      </c>
      <c r="S50" t="s">
        <v>16</v>
      </c>
      <c r="T50" t="s">
        <v>16</v>
      </c>
      <c r="U50">
        <v>35221</v>
      </c>
      <c r="V50">
        <f t="shared" si="4"/>
        <v>3352013</v>
      </c>
      <c r="W50" s="34">
        <f t="shared" si="5"/>
        <v>0.17942362631727585</v>
      </c>
      <c r="X50" s="20" t="s">
        <v>265</v>
      </c>
    </row>
    <row r="51" spans="1:24" ht="17" x14ac:dyDescent="0.2">
      <c r="A51" t="s">
        <v>91</v>
      </c>
      <c r="B51" t="s">
        <v>7</v>
      </c>
      <c r="C51" t="s">
        <v>324</v>
      </c>
      <c r="D51" t="s">
        <v>16</v>
      </c>
      <c r="E51" t="s">
        <v>16</v>
      </c>
      <c r="F51" t="s">
        <v>16</v>
      </c>
      <c r="G51" t="s">
        <v>16</v>
      </c>
      <c r="H51" t="s">
        <v>16</v>
      </c>
      <c r="I51" t="s">
        <v>16</v>
      </c>
      <c r="J51" t="s">
        <v>16</v>
      </c>
      <c r="K51" t="s">
        <v>16</v>
      </c>
      <c r="L51" t="s">
        <v>16</v>
      </c>
      <c r="M51" t="s">
        <v>16</v>
      </c>
      <c r="N51" t="s">
        <v>16</v>
      </c>
      <c r="O51">
        <v>153901</v>
      </c>
      <c r="P51">
        <v>494335</v>
      </c>
      <c r="Q51">
        <v>192625</v>
      </c>
      <c r="R51">
        <v>776428</v>
      </c>
      <c r="S51">
        <v>555089</v>
      </c>
      <c r="T51" t="s">
        <v>16</v>
      </c>
      <c r="U51" t="s">
        <v>16</v>
      </c>
      <c r="V51">
        <f t="shared" si="4"/>
        <v>2172378</v>
      </c>
      <c r="W51" s="34">
        <f t="shared" si="5"/>
        <v>0.11628115359095298</v>
      </c>
      <c r="X51" s="20" t="s">
        <v>265</v>
      </c>
    </row>
    <row r="52" spans="1:24" ht="17" x14ac:dyDescent="0.2">
      <c r="A52" t="s">
        <v>59</v>
      </c>
      <c r="B52" t="s">
        <v>7</v>
      </c>
      <c r="C52" t="s">
        <v>325</v>
      </c>
      <c r="D52" t="s">
        <v>16</v>
      </c>
      <c r="E52" t="s">
        <v>16</v>
      </c>
      <c r="F52" t="s">
        <v>16</v>
      </c>
      <c r="G52" t="s">
        <v>16</v>
      </c>
      <c r="H52" t="s">
        <v>16</v>
      </c>
      <c r="I52" t="s">
        <v>16</v>
      </c>
      <c r="J52" t="s">
        <v>16</v>
      </c>
      <c r="K52" t="s">
        <v>16</v>
      </c>
      <c r="L52" t="s">
        <v>16</v>
      </c>
      <c r="M52" t="s">
        <v>16</v>
      </c>
      <c r="N52" t="s">
        <v>16</v>
      </c>
      <c r="O52" t="s">
        <v>16</v>
      </c>
      <c r="P52">
        <v>357637</v>
      </c>
      <c r="Q52">
        <v>362563</v>
      </c>
      <c r="R52">
        <v>561648</v>
      </c>
      <c r="S52">
        <v>154371</v>
      </c>
      <c r="T52" t="s">
        <v>16</v>
      </c>
      <c r="U52" t="s">
        <v>16</v>
      </c>
      <c r="V52">
        <f t="shared" si="4"/>
        <v>1436219</v>
      </c>
      <c r="W52" s="34">
        <f t="shared" si="5"/>
        <v>7.6876677138713836E-2</v>
      </c>
      <c r="X52" s="20" t="s">
        <v>265</v>
      </c>
    </row>
    <row r="53" spans="1:24" ht="17" x14ac:dyDescent="0.2">
      <c r="A53" t="s">
        <v>125</v>
      </c>
      <c r="B53" t="s">
        <v>7</v>
      </c>
      <c r="C53" t="s">
        <v>326</v>
      </c>
      <c r="D53" t="s">
        <v>16</v>
      </c>
      <c r="E53" t="s">
        <v>16</v>
      </c>
      <c r="F53" t="s">
        <v>16</v>
      </c>
      <c r="G53" t="s">
        <v>16</v>
      </c>
      <c r="H53" t="s">
        <v>16</v>
      </c>
      <c r="I53" t="s">
        <v>16</v>
      </c>
      <c r="J53" t="s">
        <v>16</v>
      </c>
      <c r="K53" t="s">
        <v>16</v>
      </c>
      <c r="L53" t="s">
        <v>16</v>
      </c>
      <c r="M53">
        <v>81233</v>
      </c>
      <c r="N53">
        <v>169148</v>
      </c>
      <c r="O53">
        <v>152372</v>
      </c>
      <c r="P53" t="s">
        <v>16</v>
      </c>
      <c r="Q53" t="s">
        <v>16</v>
      </c>
      <c r="R53" t="s">
        <v>16</v>
      </c>
      <c r="S53" t="s">
        <v>16</v>
      </c>
      <c r="T53">
        <v>151260</v>
      </c>
      <c r="U53" t="s">
        <v>16</v>
      </c>
      <c r="V53">
        <f t="shared" si="4"/>
        <v>554013</v>
      </c>
      <c r="W53" s="34">
        <f t="shared" si="5"/>
        <v>2.9654724336365325E-2</v>
      </c>
      <c r="X53" s="20" t="s">
        <v>265</v>
      </c>
    </row>
    <row r="54" spans="1:24" ht="17" x14ac:dyDescent="0.2">
      <c r="A54" t="s">
        <v>73</v>
      </c>
      <c r="B54" t="s">
        <v>7</v>
      </c>
      <c r="C54" t="s">
        <v>327</v>
      </c>
      <c r="D54" t="s">
        <v>16</v>
      </c>
      <c r="E54" t="s">
        <v>16</v>
      </c>
      <c r="F54" t="s">
        <v>16</v>
      </c>
      <c r="G54" t="s">
        <v>16</v>
      </c>
      <c r="H54" t="s">
        <v>16</v>
      </c>
      <c r="I54">
        <v>165</v>
      </c>
      <c r="J54" t="s">
        <v>16</v>
      </c>
      <c r="K54">
        <v>84820</v>
      </c>
      <c r="L54">
        <v>25703</v>
      </c>
      <c r="M54">
        <v>119738</v>
      </c>
      <c r="N54" t="s">
        <v>16</v>
      </c>
      <c r="O54" t="s">
        <v>16</v>
      </c>
      <c r="P54" t="s">
        <v>16</v>
      </c>
      <c r="Q54" t="s">
        <v>16</v>
      </c>
      <c r="R54" t="s">
        <v>16</v>
      </c>
      <c r="S54" t="s">
        <v>16</v>
      </c>
      <c r="T54" t="s">
        <v>16</v>
      </c>
      <c r="U54" t="s">
        <v>16</v>
      </c>
      <c r="V54">
        <f t="shared" si="4"/>
        <v>230426</v>
      </c>
      <c r="W54" s="34">
        <f t="shared" si="5"/>
        <v>1.2334041818389308E-2</v>
      </c>
      <c r="X54" s="20" t="s">
        <v>265</v>
      </c>
    </row>
    <row r="55" spans="1:24" ht="17" x14ac:dyDescent="0.2">
      <c r="A55" t="s">
        <v>24</v>
      </c>
      <c r="B55" t="s">
        <v>7</v>
      </c>
      <c r="C55" t="s">
        <v>328</v>
      </c>
      <c r="D55" t="s">
        <v>16</v>
      </c>
      <c r="E55" t="s">
        <v>16</v>
      </c>
      <c r="F55" t="s">
        <v>16</v>
      </c>
      <c r="G55" t="s">
        <v>16</v>
      </c>
      <c r="H55" t="s">
        <v>16</v>
      </c>
      <c r="I55" t="s">
        <v>16</v>
      </c>
      <c r="J55" t="s">
        <v>16</v>
      </c>
      <c r="K55" t="s">
        <v>16</v>
      </c>
      <c r="L55" t="s">
        <v>16</v>
      </c>
      <c r="M55" t="s">
        <v>16</v>
      </c>
      <c r="N55">
        <v>77993</v>
      </c>
      <c r="O55">
        <v>110999</v>
      </c>
      <c r="P55" t="s">
        <v>16</v>
      </c>
      <c r="Q55">
        <v>34871</v>
      </c>
      <c r="R55" t="s">
        <v>16</v>
      </c>
      <c r="S55" t="s">
        <v>16</v>
      </c>
      <c r="T55" t="s">
        <v>16</v>
      </c>
      <c r="U55" t="s">
        <v>16</v>
      </c>
      <c r="V55">
        <f t="shared" si="4"/>
        <v>223863</v>
      </c>
      <c r="W55" s="34">
        <f t="shared" si="5"/>
        <v>1.198274328239906E-2</v>
      </c>
      <c r="X55" s="20" t="s">
        <v>265</v>
      </c>
    </row>
    <row r="56" spans="1:24" ht="17" x14ac:dyDescent="0.2">
      <c r="A56" t="s">
        <v>122</v>
      </c>
      <c r="B56" t="s">
        <v>7</v>
      </c>
      <c r="C56" t="s">
        <v>329</v>
      </c>
      <c r="D56" t="s">
        <v>16</v>
      </c>
      <c r="E56" t="s">
        <v>16</v>
      </c>
      <c r="F56" t="s">
        <v>16</v>
      </c>
      <c r="G56" t="s">
        <v>16</v>
      </c>
      <c r="H56" t="s">
        <v>16</v>
      </c>
      <c r="I56" t="s">
        <v>16</v>
      </c>
      <c r="J56" t="s">
        <v>16</v>
      </c>
      <c r="K56" t="s">
        <v>16</v>
      </c>
      <c r="L56" t="s">
        <v>16</v>
      </c>
      <c r="M56" t="s">
        <v>16</v>
      </c>
      <c r="N56" t="s">
        <v>16</v>
      </c>
      <c r="O56" t="s">
        <v>16</v>
      </c>
      <c r="P56">
        <v>76418</v>
      </c>
      <c r="Q56" t="s">
        <v>16</v>
      </c>
      <c r="R56" t="s">
        <v>16</v>
      </c>
      <c r="S56" t="s">
        <v>16</v>
      </c>
      <c r="T56">
        <v>59809</v>
      </c>
      <c r="U56">
        <v>73970</v>
      </c>
      <c r="V56">
        <f t="shared" si="4"/>
        <v>210197</v>
      </c>
      <c r="W56" s="34">
        <f t="shared" si="5"/>
        <v>1.1251241561716028E-2</v>
      </c>
      <c r="X56" s="20" t="s">
        <v>265</v>
      </c>
    </row>
    <row r="57" spans="1:24" ht="17" x14ac:dyDescent="0.2">
      <c r="A57" t="s">
        <v>133</v>
      </c>
      <c r="B57" t="s">
        <v>7</v>
      </c>
      <c r="C57" t="s">
        <v>330</v>
      </c>
      <c r="D57" t="s">
        <v>16</v>
      </c>
      <c r="E57" t="s">
        <v>16</v>
      </c>
      <c r="F57" t="s">
        <v>16</v>
      </c>
      <c r="G57" t="s">
        <v>16</v>
      </c>
      <c r="H57" t="s">
        <v>16</v>
      </c>
      <c r="I57" t="s">
        <v>16</v>
      </c>
      <c r="J57" t="s">
        <v>16</v>
      </c>
      <c r="K57">
        <v>36859</v>
      </c>
      <c r="L57" t="s">
        <v>16</v>
      </c>
      <c r="M57" t="s">
        <v>16</v>
      </c>
      <c r="N57" t="s">
        <v>16</v>
      </c>
      <c r="O57" t="s">
        <v>16</v>
      </c>
      <c r="P57" t="s">
        <v>16</v>
      </c>
      <c r="Q57" t="s">
        <v>16</v>
      </c>
      <c r="R57" t="s">
        <v>16</v>
      </c>
      <c r="S57" t="s">
        <v>16</v>
      </c>
      <c r="T57" t="s">
        <v>16</v>
      </c>
      <c r="U57">
        <v>42473</v>
      </c>
      <c r="V57">
        <f t="shared" si="4"/>
        <v>79332</v>
      </c>
      <c r="W57" s="34">
        <f t="shared" si="5"/>
        <v>4.2464140571656876E-3</v>
      </c>
      <c r="X57" s="20" t="s">
        <v>265</v>
      </c>
    </row>
    <row r="58" spans="1:24" ht="17" x14ac:dyDescent="0.2">
      <c r="A58" t="s">
        <v>45</v>
      </c>
      <c r="B58" t="s">
        <v>7</v>
      </c>
      <c r="C58" t="s">
        <v>331</v>
      </c>
      <c r="D58" t="s">
        <v>16</v>
      </c>
      <c r="E58" t="s">
        <v>16</v>
      </c>
      <c r="F58" t="s">
        <v>16</v>
      </c>
      <c r="G58" t="s">
        <v>16</v>
      </c>
      <c r="H58" t="s">
        <v>16</v>
      </c>
      <c r="I58" t="s">
        <v>16</v>
      </c>
      <c r="J58" t="s">
        <v>16</v>
      </c>
      <c r="K58" t="s">
        <v>16</v>
      </c>
      <c r="L58" t="s">
        <v>16</v>
      </c>
      <c r="M58" t="s">
        <v>16</v>
      </c>
      <c r="N58">
        <v>75879</v>
      </c>
      <c r="O58" t="s">
        <v>16</v>
      </c>
      <c r="P58" t="s">
        <v>16</v>
      </c>
      <c r="Q58" t="s">
        <v>16</v>
      </c>
      <c r="R58" t="s">
        <v>16</v>
      </c>
      <c r="S58" t="s">
        <v>16</v>
      </c>
      <c r="T58" t="s">
        <v>16</v>
      </c>
      <c r="U58" t="s">
        <v>16</v>
      </c>
      <c r="V58">
        <f t="shared" si="4"/>
        <v>75879</v>
      </c>
      <c r="W58" s="34">
        <f t="shared" si="5"/>
        <v>4.0615848868511472E-3</v>
      </c>
      <c r="X58" s="20" t="s">
        <v>265</v>
      </c>
    </row>
    <row r="59" spans="1:24" ht="17" x14ac:dyDescent="0.2">
      <c r="A59" t="s">
        <v>95</v>
      </c>
      <c r="B59" t="s">
        <v>7</v>
      </c>
      <c r="C59" t="s">
        <v>332</v>
      </c>
      <c r="D59" t="s">
        <v>16</v>
      </c>
      <c r="E59" t="s">
        <v>16</v>
      </c>
      <c r="F59" t="s">
        <v>16</v>
      </c>
      <c r="G59" t="s">
        <v>16</v>
      </c>
      <c r="H59" t="s">
        <v>16</v>
      </c>
      <c r="I59" t="s">
        <v>16</v>
      </c>
      <c r="J59" t="s">
        <v>16</v>
      </c>
      <c r="K59">
        <v>1668</v>
      </c>
      <c r="L59" t="s">
        <v>16</v>
      </c>
      <c r="M59" t="s">
        <v>16</v>
      </c>
      <c r="N59" t="s">
        <v>16</v>
      </c>
      <c r="O59" t="s">
        <v>16</v>
      </c>
      <c r="P59" t="s">
        <v>16</v>
      </c>
      <c r="Q59" t="s">
        <v>16</v>
      </c>
      <c r="R59" t="s">
        <v>16</v>
      </c>
      <c r="S59" t="s">
        <v>16</v>
      </c>
      <c r="T59" t="s">
        <v>16</v>
      </c>
      <c r="U59" t="s">
        <v>16</v>
      </c>
      <c r="V59">
        <f t="shared" si="4"/>
        <v>1668</v>
      </c>
      <c r="W59" s="34">
        <f t="shared" si="5"/>
        <v>8.9283248214495621E-5</v>
      </c>
      <c r="X59" s="20" t="s">
        <v>265</v>
      </c>
    </row>
    <row r="60" spans="1:24" ht="17" x14ac:dyDescent="0.2">
      <c r="A60" t="s">
        <v>55</v>
      </c>
      <c r="B60" t="s">
        <v>7</v>
      </c>
      <c r="C60" t="s">
        <v>333</v>
      </c>
      <c r="D60" t="s">
        <v>16</v>
      </c>
      <c r="E60" t="s">
        <v>16</v>
      </c>
      <c r="F60" t="s">
        <v>16</v>
      </c>
      <c r="G60" t="s">
        <v>16</v>
      </c>
      <c r="H60" t="s">
        <v>16</v>
      </c>
      <c r="I60" t="s">
        <v>16</v>
      </c>
      <c r="J60" t="s">
        <v>16</v>
      </c>
      <c r="K60" t="s">
        <v>16</v>
      </c>
      <c r="L60" t="s">
        <v>16</v>
      </c>
      <c r="M60" t="s">
        <v>16</v>
      </c>
      <c r="N60" t="s">
        <v>16</v>
      </c>
      <c r="O60">
        <v>19</v>
      </c>
      <c r="P60" t="s">
        <v>16</v>
      </c>
      <c r="Q60" t="s">
        <v>16</v>
      </c>
      <c r="R60" t="s">
        <v>16</v>
      </c>
      <c r="S60" t="s">
        <v>16</v>
      </c>
      <c r="T60" t="s">
        <v>16</v>
      </c>
      <c r="U60" t="s">
        <v>16</v>
      </c>
      <c r="V60">
        <f t="shared" si="4"/>
        <v>19</v>
      </c>
      <c r="W60" s="34">
        <f t="shared" si="5"/>
        <v>1.017015417311401E-6</v>
      </c>
      <c r="X60" s="20" t="s">
        <v>265</v>
      </c>
    </row>
    <row r="61" spans="1:24" x14ac:dyDescent="0.2">
      <c r="A61" t="s">
        <v>120</v>
      </c>
      <c r="B61" t="s">
        <v>7</v>
      </c>
      <c r="C61" t="s">
        <v>334</v>
      </c>
      <c r="D61" t="s">
        <v>16</v>
      </c>
      <c r="E61" t="s">
        <v>16</v>
      </c>
      <c r="F61" t="s">
        <v>16</v>
      </c>
      <c r="G61" t="s">
        <v>16</v>
      </c>
      <c r="H61" t="s">
        <v>16</v>
      </c>
      <c r="I61" t="s">
        <v>16</v>
      </c>
      <c r="J61" t="s">
        <v>16</v>
      </c>
      <c r="K61" t="s">
        <v>16</v>
      </c>
      <c r="L61" t="s">
        <v>16</v>
      </c>
      <c r="M61" t="s">
        <v>16</v>
      </c>
      <c r="N61" t="s">
        <v>16</v>
      </c>
      <c r="O61" t="s">
        <v>16</v>
      </c>
      <c r="P61" t="s">
        <v>16</v>
      </c>
      <c r="Q61" t="s">
        <v>16</v>
      </c>
      <c r="R61" t="s">
        <v>16</v>
      </c>
      <c r="S61" t="s">
        <v>16</v>
      </c>
      <c r="T61" t="s">
        <v>16</v>
      </c>
      <c r="U61" t="s">
        <v>16</v>
      </c>
      <c r="W61" s="34">
        <f t="shared" si="5"/>
        <v>0</v>
      </c>
      <c r="X61" s="29" t="s">
        <v>266</v>
      </c>
    </row>
    <row r="62" spans="1:24" x14ac:dyDescent="0.2">
      <c r="W62" s="36">
        <f>SUM(W49:W61)</f>
        <v>0.82796921933254208</v>
      </c>
    </row>
    <row r="63" spans="1:24" x14ac:dyDescent="0.2">
      <c r="V63">
        <f>SUM(V15:V62)</f>
        <v>18682116</v>
      </c>
    </row>
  </sheetData>
  <sortState xmlns:xlrd2="http://schemas.microsoft.com/office/spreadsheetml/2017/richdata2" ref="AA15:AB27">
    <sortCondition descending="1" ref="AB15:AB27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Z100"/>
  <sheetViews>
    <sheetView topLeftCell="A22" workbookViewId="0">
      <selection activeCell="L36" sqref="L36:M50"/>
    </sheetView>
  </sheetViews>
  <sheetFormatPr baseColWidth="10" defaultColWidth="11" defaultRowHeight="16" x14ac:dyDescent="0.2"/>
  <cols>
    <col min="1" max="1" width="25.83203125" customWidth="1"/>
    <col min="11" max="11" width="27.83203125" bestFit="1" customWidth="1"/>
    <col min="12" max="12" width="12.6640625" bestFit="1" customWidth="1"/>
    <col min="13" max="13" width="7" bestFit="1" customWidth="1"/>
    <col min="14" max="14" width="11.83203125" bestFit="1" customWidth="1"/>
  </cols>
  <sheetData>
    <row r="1" spans="1:26" x14ac:dyDescent="0.2">
      <c r="A1" s="15" t="s">
        <v>155</v>
      </c>
      <c r="B1" s="4"/>
      <c r="C1" s="4"/>
      <c r="D1" s="4"/>
      <c r="E1" s="4"/>
      <c r="F1" s="4"/>
      <c r="G1" s="4"/>
      <c r="H1" s="4"/>
      <c r="I1" s="4"/>
    </row>
    <row r="2" spans="1:26" x14ac:dyDescent="0.2">
      <c r="A2" s="4" t="s">
        <v>156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">
      <c r="A3" s="4" t="s">
        <v>157</v>
      </c>
      <c r="B3" s="4"/>
      <c r="C3" s="4"/>
      <c r="D3" s="4"/>
      <c r="E3" s="4"/>
      <c r="F3" s="4"/>
      <c r="G3" s="4"/>
      <c r="H3" s="4"/>
      <c r="I3" s="4"/>
    </row>
    <row r="4" spans="1:26" x14ac:dyDescent="0.2">
      <c r="A4" s="4" t="s">
        <v>3</v>
      </c>
      <c r="B4" s="4"/>
      <c r="C4" s="4"/>
      <c r="D4" s="4"/>
      <c r="E4" s="4"/>
      <c r="F4" s="4"/>
      <c r="G4" s="4"/>
      <c r="H4" s="4"/>
      <c r="I4" s="4"/>
    </row>
    <row r="5" spans="1:26" x14ac:dyDescent="0.2">
      <c r="A5" s="4" t="s">
        <v>4</v>
      </c>
      <c r="B5" s="4" t="s">
        <v>5</v>
      </c>
      <c r="C5" s="4" t="s">
        <v>6</v>
      </c>
      <c r="D5" s="4">
        <v>2018</v>
      </c>
      <c r="E5" s="4"/>
      <c r="F5" s="4"/>
      <c r="G5" s="4"/>
      <c r="H5" s="4"/>
      <c r="I5" s="4"/>
    </row>
    <row r="6" spans="1:26" x14ac:dyDescent="0.2">
      <c r="A6" s="4" t="s">
        <v>155</v>
      </c>
      <c r="B6" s="4" t="s">
        <v>7</v>
      </c>
      <c r="C6" s="4"/>
      <c r="D6" s="4"/>
      <c r="E6" s="4"/>
      <c r="F6" s="4"/>
      <c r="G6" s="4"/>
      <c r="H6" s="4"/>
      <c r="I6" s="4"/>
    </row>
    <row r="7" spans="1:26" x14ac:dyDescent="0.2">
      <c r="A7" s="4" t="s">
        <v>8</v>
      </c>
      <c r="B7" s="4"/>
      <c r="C7" s="4" t="s">
        <v>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">
      <c r="A8" s="4" t="s">
        <v>10</v>
      </c>
      <c r="B8" s="4" t="s">
        <v>7</v>
      </c>
      <c r="C8" s="4" t="s">
        <v>158</v>
      </c>
      <c r="D8" s="4">
        <v>20011409</v>
      </c>
      <c r="E8" s="4"/>
      <c r="F8" s="4"/>
      <c r="G8" s="4"/>
      <c r="H8" s="4"/>
      <c r="I8" s="4"/>
    </row>
    <row r="9" spans="1:26" x14ac:dyDescent="0.2">
      <c r="A9" s="4" t="s">
        <v>12</v>
      </c>
      <c r="B9" s="4" t="s">
        <v>7</v>
      </c>
      <c r="C9" s="4" t="s">
        <v>159</v>
      </c>
      <c r="D9" s="4">
        <v>19599476</v>
      </c>
      <c r="E9" s="4"/>
      <c r="F9" s="4"/>
      <c r="G9" s="4"/>
      <c r="H9" s="4"/>
      <c r="I9" s="4"/>
    </row>
    <row r="10" spans="1:26" x14ac:dyDescent="0.2">
      <c r="A10" s="4" t="s">
        <v>14</v>
      </c>
      <c r="B10" s="4" t="s">
        <v>7</v>
      </c>
      <c r="C10" s="4" t="s">
        <v>160</v>
      </c>
      <c r="D10" s="4">
        <v>411933</v>
      </c>
      <c r="E10" s="4"/>
      <c r="F10" s="4"/>
      <c r="G10" s="4"/>
      <c r="H10" s="4"/>
      <c r="I10" s="4"/>
    </row>
    <row r="11" spans="1:26" x14ac:dyDescent="0.2">
      <c r="A11" s="4" t="s">
        <v>15</v>
      </c>
      <c r="B11" s="4" t="s">
        <v>7</v>
      </c>
      <c r="C11" s="4" t="s">
        <v>161</v>
      </c>
      <c r="D11" s="4">
        <v>144250</v>
      </c>
      <c r="E11" s="4"/>
      <c r="F11" s="4"/>
      <c r="G11" s="4"/>
      <c r="H11" s="4"/>
      <c r="I11" s="4"/>
      <c r="K11" s="291" t="s">
        <v>736</v>
      </c>
      <c r="L11" s="292" t="s">
        <v>709</v>
      </c>
      <c r="M11" s="292" t="s">
        <v>710</v>
      </c>
      <c r="N11" s="292" t="s">
        <v>711</v>
      </c>
    </row>
    <row r="12" spans="1:26" x14ac:dyDescent="0.2">
      <c r="A12" s="4"/>
      <c r="B12" s="4"/>
      <c r="C12" s="4"/>
      <c r="D12" s="4"/>
      <c r="E12" s="4"/>
      <c r="F12" s="4"/>
      <c r="G12" s="4"/>
      <c r="H12" s="4"/>
      <c r="I12" s="4"/>
      <c r="K12" t="s">
        <v>672</v>
      </c>
      <c r="L12" s="24">
        <v>2627418</v>
      </c>
      <c r="M12" s="118">
        <f>+L12/$L$33</f>
        <v>0.26578407078786626</v>
      </c>
      <c r="N12" t="s">
        <v>265</v>
      </c>
    </row>
    <row r="13" spans="1:26" x14ac:dyDescent="0.2">
      <c r="A13" s="4"/>
      <c r="B13" s="4"/>
      <c r="C13" s="4"/>
      <c r="D13" s="4"/>
      <c r="E13" s="4"/>
      <c r="F13" s="4"/>
      <c r="G13" s="4"/>
      <c r="H13" s="4"/>
      <c r="I13" s="4"/>
      <c r="K13" t="s">
        <v>683</v>
      </c>
      <c r="L13" s="24">
        <v>2521294</v>
      </c>
      <c r="M13" s="118">
        <f t="shared" ref="M13:M32" si="0">+L13/$L$33</f>
        <v>0.25504879047529644</v>
      </c>
      <c r="N13" t="s">
        <v>65</v>
      </c>
    </row>
    <row r="14" spans="1:26" x14ac:dyDescent="0.2">
      <c r="A14" s="4"/>
      <c r="B14" s="4"/>
      <c r="C14" s="4"/>
      <c r="D14" s="4"/>
      <c r="E14" s="4"/>
      <c r="F14" s="4"/>
      <c r="G14" s="4"/>
      <c r="H14" s="4"/>
      <c r="I14" s="4"/>
      <c r="K14" t="s">
        <v>689</v>
      </c>
      <c r="L14" s="24">
        <v>2063282</v>
      </c>
      <c r="M14" s="118">
        <f t="shared" si="0"/>
        <v>0.2087172612592782</v>
      </c>
      <c r="N14" t="s">
        <v>148</v>
      </c>
    </row>
    <row r="15" spans="1:26" x14ac:dyDescent="0.2">
      <c r="A15" s="4"/>
      <c r="B15" s="4"/>
      <c r="C15" s="4"/>
      <c r="D15" s="4"/>
      <c r="E15" s="4"/>
      <c r="F15" s="4"/>
      <c r="G15" s="4"/>
      <c r="H15" s="4"/>
      <c r="I15" s="4"/>
      <c r="K15" t="s">
        <v>686</v>
      </c>
      <c r="L15" s="24">
        <v>720767</v>
      </c>
      <c r="M15" s="118">
        <f t="shared" si="0"/>
        <v>7.2911271579001888E-2</v>
      </c>
      <c r="N15" t="s">
        <v>265</v>
      </c>
    </row>
    <row r="16" spans="1:26" x14ac:dyDescent="0.2">
      <c r="A16" s="4"/>
      <c r="B16" s="4"/>
      <c r="C16" s="4"/>
      <c r="D16" s="4"/>
      <c r="E16" s="4"/>
      <c r="F16" s="4"/>
      <c r="G16" s="4"/>
      <c r="H16" s="4"/>
      <c r="I16" s="4"/>
      <c r="K16" t="s">
        <v>673</v>
      </c>
      <c r="L16" s="24">
        <v>695427</v>
      </c>
      <c r="M16" s="118">
        <f t="shared" si="0"/>
        <v>7.0347930552273549E-2</v>
      </c>
      <c r="N16" t="s">
        <v>148</v>
      </c>
    </row>
    <row r="17" spans="1:14" x14ac:dyDescent="0.2">
      <c r="A17" s="4"/>
      <c r="B17" s="4"/>
      <c r="C17" s="4"/>
      <c r="D17" s="4"/>
      <c r="E17" s="4"/>
      <c r="F17" s="4"/>
      <c r="G17" s="4"/>
      <c r="H17" s="4"/>
      <c r="I17" s="4"/>
      <c r="K17" t="s">
        <v>724</v>
      </c>
      <c r="L17" s="24">
        <v>190692</v>
      </c>
      <c r="M17" s="118">
        <f t="shared" si="0"/>
        <v>1.9290001068227359E-2</v>
      </c>
      <c r="N17" t="s">
        <v>246</v>
      </c>
    </row>
    <row r="18" spans="1:14" x14ac:dyDescent="0.2">
      <c r="A18" s="4"/>
      <c r="B18" s="4"/>
      <c r="C18" s="4"/>
      <c r="D18" s="4"/>
      <c r="E18" s="4"/>
      <c r="F18" s="4"/>
      <c r="G18" s="4"/>
      <c r="H18" s="4"/>
      <c r="I18" s="4"/>
      <c r="K18" t="s">
        <v>691</v>
      </c>
      <c r="L18" s="24">
        <v>164116</v>
      </c>
      <c r="M18" s="118">
        <f t="shared" si="0"/>
        <v>1.6601628884867749E-2</v>
      </c>
      <c r="N18" t="s">
        <v>246</v>
      </c>
    </row>
    <row r="19" spans="1:14" x14ac:dyDescent="0.2">
      <c r="A19" s="4"/>
      <c r="B19" s="4"/>
      <c r="C19" s="4"/>
      <c r="D19" s="15">
        <v>2018</v>
      </c>
      <c r="E19" s="15" t="s">
        <v>147</v>
      </c>
      <c r="F19" s="4"/>
      <c r="G19" s="4"/>
      <c r="H19" s="4"/>
      <c r="I19" s="4"/>
      <c r="K19" t="s">
        <v>698</v>
      </c>
      <c r="L19" s="24">
        <v>159626</v>
      </c>
      <c r="M19" s="118">
        <f t="shared" si="0"/>
        <v>1.614742994208913E-2</v>
      </c>
      <c r="N19" t="s">
        <v>246</v>
      </c>
    </row>
    <row r="20" spans="1:14" x14ac:dyDescent="0.2">
      <c r="A20" s="4" t="s">
        <v>89</v>
      </c>
      <c r="B20" s="4" t="s">
        <v>7</v>
      </c>
      <c r="C20" s="4" t="s">
        <v>162</v>
      </c>
      <c r="D20" s="4">
        <v>1450341</v>
      </c>
      <c r="E20" s="8">
        <v>7.4300000000000005E-2</v>
      </c>
      <c r="F20" s="4" t="s">
        <v>148</v>
      </c>
      <c r="G20" s="4"/>
      <c r="H20" s="4"/>
      <c r="K20" t="s">
        <v>668</v>
      </c>
      <c r="L20" s="24">
        <v>120545</v>
      </c>
      <c r="M20" s="118">
        <f t="shared" si="0"/>
        <v>1.2194078297828261E-2</v>
      </c>
      <c r="N20" s="11" t="s">
        <v>191</v>
      </c>
    </row>
    <row r="21" spans="1:14" x14ac:dyDescent="0.2">
      <c r="A21" s="4" t="s">
        <v>53</v>
      </c>
      <c r="B21" s="4" t="s">
        <v>7</v>
      </c>
      <c r="C21" s="4" t="s">
        <v>163</v>
      </c>
      <c r="D21" s="4">
        <v>2258372</v>
      </c>
      <c r="E21" s="8">
        <v>0.11559999999999999</v>
      </c>
      <c r="F21" s="4" t="s">
        <v>148</v>
      </c>
      <c r="G21" s="4"/>
      <c r="H21" s="4"/>
      <c r="I21" s="4"/>
      <c r="K21" t="s">
        <v>723</v>
      </c>
      <c r="L21" s="24">
        <v>100623</v>
      </c>
      <c r="M21" s="118">
        <f t="shared" si="0"/>
        <v>1.0178810739245703E-2</v>
      </c>
      <c r="N21" t="s">
        <v>246</v>
      </c>
    </row>
    <row r="22" spans="1:14" x14ac:dyDescent="0.2">
      <c r="A22" s="4" t="s">
        <v>164</v>
      </c>
      <c r="B22" s="4" t="s">
        <v>7</v>
      </c>
      <c r="C22" s="4" t="s">
        <v>165</v>
      </c>
      <c r="D22" s="4">
        <v>110013</v>
      </c>
      <c r="E22" s="9">
        <v>5.5999999999999999E-3</v>
      </c>
      <c r="F22" s="4" t="s">
        <v>148</v>
      </c>
      <c r="G22" s="4"/>
      <c r="H22" s="4"/>
      <c r="I22" s="4"/>
      <c r="K22" t="s">
        <v>731</v>
      </c>
      <c r="L22" s="24">
        <v>95383</v>
      </c>
      <c r="M22" s="118">
        <f t="shared" si="0"/>
        <v>9.6487433761811188E-3</v>
      </c>
      <c r="N22" t="s">
        <v>246</v>
      </c>
    </row>
    <row r="23" spans="1:14" x14ac:dyDescent="0.2">
      <c r="A23" s="4"/>
      <c r="B23" s="4"/>
      <c r="C23" s="4"/>
      <c r="D23" s="4"/>
      <c r="E23" s="9">
        <f>SUM(E20:E22)</f>
        <v>0.19550000000000001</v>
      </c>
      <c r="F23" s="4"/>
      <c r="G23" s="4"/>
      <c r="H23" s="4"/>
      <c r="I23" s="4"/>
      <c r="K23" t="s">
        <v>697</v>
      </c>
      <c r="L23" s="24">
        <v>89654</v>
      </c>
      <c r="M23" s="118">
        <f t="shared" si="0"/>
        <v>9.0692098030900909E-3</v>
      </c>
      <c r="N23" t="s">
        <v>36</v>
      </c>
    </row>
    <row r="24" spans="1:14" x14ac:dyDescent="0.2">
      <c r="A24" s="4"/>
      <c r="B24" s="4"/>
      <c r="C24" s="4"/>
      <c r="D24" s="4"/>
      <c r="E24" s="8"/>
      <c r="F24" s="4"/>
      <c r="G24" s="4"/>
      <c r="H24" s="4"/>
      <c r="I24" s="4"/>
      <c r="K24" t="s">
        <v>679</v>
      </c>
      <c r="L24" s="24">
        <v>69824</v>
      </c>
      <c r="M24" s="118">
        <f t="shared" si="0"/>
        <v>7.0632487707292758E-3</v>
      </c>
      <c r="N24" t="s">
        <v>246</v>
      </c>
    </row>
    <row r="25" spans="1:14" x14ac:dyDescent="0.2">
      <c r="A25" s="4" t="s">
        <v>166</v>
      </c>
      <c r="B25" s="4" t="s">
        <v>7</v>
      </c>
      <c r="C25" s="4" t="s">
        <v>167</v>
      </c>
      <c r="D25" s="4">
        <v>22</v>
      </c>
      <c r="E25" s="8">
        <v>0</v>
      </c>
      <c r="F25" s="4" t="s">
        <v>151</v>
      </c>
      <c r="G25" s="4"/>
      <c r="H25" s="4"/>
      <c r="I25" s="4"/>
      <c r="K25" t="s">
        <v>690</v>
      </c>
      <c r="L25" s="24">
        <v>69445</v>
      </c>
      <c r="M25" s="118">
        <f t="shared" si="0"/>
        <v>7.0249099290114365E-3</v>
      </c>
      <c r="N25" t="s">
        <v>246</v>
      </c>
    </row>
    <row r="26" spans="1:14" x14ac:dyDescent="0.2">
      <c r="A26" s="4" t="s">
        <v>51</v>
      </c>
      <c r="B26" s="4" t="s">
        <v>7</v>
      </c>
      <c r="C26" s="4" t="s">
        <v>168</v>
      </c>
      <c r="D26" s="4">
        <v>37486</v>
      </c>
      <c r="E26" s="8">
        <v>1.9E-3</v>
      </c>
      <c r="F26" s="4" t="s">
        <v>151</v>
      </c>
      <c r="G26" s="4"/>
      <c r="H26" s="4"/>
      <c r="I26" s="4"/>
      <c r="K26" t="s">
        <v>727</v>
      </c>
      <c r="L26" s="24">
        <v>48502</v>
      </c>
      <c r="M26" s="118">
        <f t="shared" si="0"/>
        <v>4.9063601609462548E-3</v>
      </c>
      <c r="N26" t="s">
        <v>248</v>
      </c>
    </row>
    <row r="27" spans="1:14" x14ac:dyDescent="0.2">
      <c r="A27" s="4" t="s">
        <v>141</v>
      </c>
      <c r="B27" s="4" t="s">
        <v>7</v>
      </c>
      <c r="C27" s="4" t="s">
        <v>169</v>
      </c>
      <c r="D27" s="4">
        <v>37724</v>
      </c>
      <c r="E27" s="8">
        <v>1.9E-3</v>
      </c>
      <c r="F27" s="4" t="s">
        <v>151</v>
      </c>
      <c r="G27" s="4"/>
      <c r="H27" s="4"/>
      <c r="I27" s="4"/>
      <c r="K27" t="s">
        <v>663</v>
      </c>
      <c r="L27" s="24">
        <v>42439</v>
      </c>
      <c r="M27" s="118">
        <f t="shared" si="0"/>
        <v>4.2930398513545444E-3</v>
      </c>
      <c r="N27" t="s">
        <v>191</v>
      </c>
    </row>
    <row r="28" spans="1:14" x14ac:dyDescent="0.2">
      <c r="A28" s="4" t="s">
        <v>47</v>
      </c>
      <c r="B28" s="4" t="s">
        <v>7</v>
      </c>
      <c r="C28" s="4" t="s">
        <v>170</v>
      </c>
      <c r="D28" s="4">
        <v>50486</v>
      </c>
      <c r="E28" s="8">
        <v>2.5999999999999999E-3</v>
      </c>
      <c r="F28" s="4" t="s">
        <v>151</v>
      </c>
      <c r="G28" s="4"/>
      <c r="H28" s="4"/>
      <c r="I28" s="4"/>
      <c r="K28" t="s">
        <v>693</v>
      </c>
      <c r="L28" s="24">
        <v>33494</v>
      </c>
      <c r="M28" s="118">
        <f t="shared" si="0"/>
        <v>3.3881824920773138E-3</v>
      </c>
      <c r="N28" t="s">
        <v>265</v>
      </c>
    </row>
    <row r="29" spans="1:14" x14ac:dyDescent="0.2">
      <c r="A29" s="4" t="s">
        <v>75</v>
      </c>
      <c r="B29" s="4" t="s">
        <v>7</v>
      </c>
      <c r="C29" s="4" t="s">
        <v>171</v>
      </c>
      <c r="D29" s="4">
        <v>72772</v>
      </c>
      <c r="E29" s="8">
        <v>3.7000000000000002E-3</v>
      </c>
      <c r="F29" s="4" t="s">
        <v>151</v>
      </c>
      <c r="G29" s="4"/>
      <c r="H29" s="4"/>
      <c r="I29" s="4"/>
      <c r="K29" t="s">
        <v>667</v>
      </c>
      <c r="L29" s="24">
        <v>31369</v>
      </c>
      <c r="M29" s="118">
        <f t="shared" si="0"/>
        <v>3.173221967933757E-3</v>
      </c>
      <c r="N29" t="s">
        <v>246</v>
      </c>
    </row>
    <row r="30" spans="1:14" x14ac:dyDescent="0.2">
      <c r="A30" s="4" t="s">
        <v>172</v>
      </c>
      <c r="B30" s="4" t="s">
        <v>7</v>
      </c>
      <c r="C30" s="4" t="s">
        <v>173</v>
      </c>
      <c r="D30" s="4">
        <v>83142</v>
      </c>
      <c r="E30" s="8">
        <v>4.3E-3</v>
      </c>
      <c r="F30" s="4" t="s">
        <v>151</v>
      </c>
      <c r="G30" s="4"/>
      <c r="H30" s="4"/>
      <c r="I30" s="4"/>
      <c r="K30" t="s">
        <v>701</v>
      </c>
      <c r="L30" s="24">
        <v>26455</v>
      </c>
      <c r="M30" s="118">
        <f t="shared" si="0"/>
        <v>2.676132078220139E-3</v>
      </c>
      <c r="N30" t="s">
        <v>26</v>
      </c>
    </row>
    <row r="31" spans="1:14" x14ac:dyDescent="0.2">
      <c r="A31" s="4" t="s">
        <v>101</v>
      </c>
      <c r="B31" s="4" t="s">
        <v>7</v>
      </c>
      <c r="C31" s="4" t="s">
        <v>174</v>
      </c>
      <c r="D31" s="4">
        <v>152881</v>
      </c>
      <c r="E31" s="8">
        <v>7.7999999999999996E-3</v>
      </c>
      <c r="F31" s="4" t="s">
        <v>151</v>
      </c>
      <c r="G31" s="4"/>
      <c r="H31" s="4"/>
      <c r="I31" s="4"/>
      <c r="K31" t="s">
        <v>680</v>
      </c>
      <c r="L31" s="24">
        <v>10657</v>
      </c>
      <c r="M31" s="118">
        <f t="shared" si="0"/>
        <v>1.0780396733166518E-3</v>
      </c>
      <c r="N31" t="s">
        <v>265</v>
      </c>
    </row>
    <row r="32" spans="1:14" x14ac:dyDescent="0.2">
      <c r="A32" s="4" t="s">
        <v>34</v>
      </c>
      <c r="B32" s="4" t="s">
        <v>7</v>
      </c>
      <c r="C32" s="4" t="s">
        <v>175</v>
      </c>
      <c r="D32" s="4">
        <v>157846</v>
      </c>
      <c r="E32" s="8">
        <v>8.0999999999999996E-3</v>
      </c>
      <c r="F32" s="4" t="s">
        <v>151</v>
      </c>
      <c r="G32" s="4"/>
      <c r="H32" s="4"/>
      <c r="I32" s="10"/>
      <c r="K32" t="s">
        <v>674</v>
      </c>
      <c r="L32" s="24">
        <v>4524</v>
      </c>
      <c r="M32" s="118">
        <f t="shared" si="0"/>
        <v>4.5763831116491812E-4</v>
      </c>
      <c r="N32" t="s">
        <v>86</v>
      </c>
    </row>
    <row r="33" spans="1:13" x14ac:dyDescent="0.2">
      <c r="A33" s="4" t="s">
        <v>99</v>
      </c>
      <c r="B33" s="4" t="s">
        <v>7</v>
      </c>
      <c r="C33" s="4" t="s">
        <v>176</v>
      </c>
      <c r="D33" s="4">
        <v>191425</v>
      </c>
      <c r="E33" s="8">
        <v>9.7999999999999997E-3</v>
      </c>
      <c r="F33" s="4" t="s">
        <v>151</v>
      </c>
      <c r="G33" s="4"/>
      <c r="H33" s="4"/>
      <c r="I33" s="10"/>
      <c r="L33" s="293">
        <f>SUM(L12:L32)</f>
        <v>9885536</v>
      </c>
    </row>
    <row r="34" spans="1:13" x14ac:dyDescent="0.2">
      <c r="A34" s="4" t="s">
        <v>49</v>
      </c>
      <c r="B34" s="4" t="s">
        <v>7</v>
      </c>
      <c r="C34" s="4" t="s">
        <v>177</v>
      </c>
      <c r="D34" s="4">
        <v>209095</v>
      </c>
      <c r="E34" s="8">
        <v>1.0699999999999999E-2</v>
      </c>
      <c r="F34" s="4" t="s">
        <v>151</v>
      </c>
      <c r="G34" s="4"/>
      <c r="H34" s="4"/>
      <c r="I34" s="4"/>
    </row>
    <row r="35" spans="1:13" x14ac:dyDescent="0.2">
      <c r="A35" s="4" t="s">
        <v>178</v>
      </c>
      <c r="B35" s="4" t="s">
        <v>7</v>
      </c>
      <c r="C35" s="4" t="s">
        <v>179</v>
      </c>
      <c r="D35" s="4">
        <v>216314</v>
      </c>
      <c r="E35" s="8">
        <v>1.11E-2</v>
      </c>
      <c r="F35" s="4" t="s">
        <v>151</v>
      </c>
      <c r="G35" s="4"/>
      <c r="H35" s="4"/>
      <c r="I35" s="4"/>
    </row>
    <row r="36" spans="1:13" x14ac:dyDescent="0.2">
      <c r="A36" s="4"/>
      <c r="B36" s="4"/>
      <c r="C36" s="4"/>
      <c r="D36" s="4"/>
      <c r="E36" s="9">
        <f>SUM(E25:E35)</f>
        <v>6.1899999999999997E-2</v>
      </c>
      <c r="F36" s="4"/>
      <c r="G36" s="4"/>
      <c r="H36" s="4"/>
      <c r="I36" s="4"/>
      <c r="L36" t="s">
        <v>148</v>
      </c>
      <c r="M36" s="118">
        <f>+SUMIF($N$12:$N$32,L36,$M$12:$M$32)</f>
        <v>0.27906519181155176</v>
      </c>
    </row>
    <row r="37" spans="1:13" x14ac:dyDescent="0.2">
      <c r="A37" s="4"/>
      <c r="B37" s="4"/>
      <c r="C37" s="4"/>
      <c r="D37" s="4"/>
      <c r="E37" s="8"/>
      <c r="F37" s="4"/>
      <c r="G37" s="4"/>
      <c r="H37" s="4"/>
      <c r="I37" s="4"/>
      <c r="L37" t="s">
        <v>265</v>
      </c>
      <c r="M37" s="118">
        <f t="shared" ref="M37:M49" si="1">+SUMIF($N$12:$N$32,L37,$M$12:$M$32)</f>
        <v>0.34316156453226215</v>
      </c>
    </row>
    <row r="38" spans="1:13" x14ac:dyDescent="0.2">
      <c r="A38" s="4" t="s">
        <v>61</v>
      </c>
      <c r="B38" s="4" t="s">
        <v>7</v>
      </c>
      <c r="C38" s="4" t="s">
        <v>180</v>
      </c>
      <c r="D38" s="4">
        <v>37202</v>
      </c>
      <c r="E38" s="8">
        <v>1.9E-3</v>
      </c>
      <c r="F38" s="4" t="s">
        <v>181</v>
      </c>
      <c r="G38" s="4"/>
      <c r="H38" s="4"/>
      <c r="I38" s="4"/>
      <c r="L38" t="s">
        <v>26</v>
      </c>
      <c r="M38" s="118">
        <f t="shared" si="1"/>
        <v>2.676132078220139E-3</v>
      </c>
    </row>
    <row r="39" spans="1:13" x14ac:dyDescent="0.2">
      <c r="A39" s="4" t="s">
        <v>57</v>
      </c>
      <c r="B39" s="4" t="s">
        <v>7</v>
      </c>
      <c r="C39" s="4" t="s">
        <v>182</v>
      </c>
      <c r="D39" s="4">
        <v>183499</v>
      </c>
      <c r="E39" s="8">
        <v>9.4000000000000004E-3</v>
      </c>
      <c r="F39" s="4" t="s">
        <v>181</v>
      </c>
      <c r="G39" s="4"/>
      <c r="H39" s="4"/>
      <c r="I39" s="4"/>
      <c r="L39" t="s">
        <v>36</v>
      </c>
      <c r="M39" s="118">
        <f t="shared" si="1"/>
        <v>9.0692098030900909E-3</v>
      </c>
    </row>
    <row r="40" spans="1:13" x14ac:dyDescent="0.2">
      <c r="A40" s="4" t="s">
        <v>105</v>
      </c>
      <c r="B40" s="4" t="s">
        <v>7</v>
      </c>
      <c r="C40" s="4" t="s">
        <v>183</v>
      </c>
      <c r="D40" s="4">
        <v>532384</v>
      </c>
      <c r="E40" s="8">
        <v>2.7300000000000001E-2</v>
      </c>
      <c r="F40" s="4" t="s">
        <v>181</v>
      </c>
      <c r="G40" s="4"/>
      <c r="H40" s="4"/>
      <c r="I40" s="4"/>
      <c r="L40" t="s">
        <v>65</v>
      </c>
      <c r="M40" s="118">
        <f t="shared" si="1"/>
        <v>0.25504879047529644</v>
      </c>
    </row>
    <row r="41" spans="1:13" x14ac:dyDescent="0.2">
      <c r="A41" s="4" t="s">
        <v>122</v>
      </c>
      <c r="B41" s="4" t="s">
        <v>7</v>
      </c>
      <c r="C41" s="4" t="s">
        <v>184</v>
      </c>
      <c r="D41" s="4">
        <v>995504</v>
      </c>
      <c r="E41" s="8">
        <v>5.0999999999999997E-2</v>
      </c>
      <c r="F41" s="4" t="s">
        <v>181</v>
      </c>
      <c r="G41" s="4"/>
      <c r="H41" s="4"/>
      <c r="I41" s="4"/>
      <c r="L41" t="s">
        <v>267</v>
      </c>
      <c r="M41" s="118">
        <f t="shared" si="1"/>
        <v>0</v>
      </c>
    </row>
    <row r="42" spans="1:13" x14ac:dyDescent="0.2">
      <c r="A42" s="4" t="s">
        <v>59</v>
      </c>
      <c r="B42" s="4" t="s">
        <v>7</v>
      </c>
      <c r="C42" s="4" t="s">
        <v>185</v>
      </c>
      <c r="D42" s="4">
        <v>1611932</v>
      </c>
      <c r="E42" s="8">
        <v>8.2500000000000004E-2</v>
      </c>
      <c r="F42" s="4" t="s">
        <v>181</v>
      </c>
      <c r="G42" s="4"/>
      <c r="H42" s="4"/>
      <c r="I42" s="4"/>
      <c r="L42" t="s">
        <v>266</v>
      </c>
      <c r="M42" s="118">
        <f t="shared" si="1"/>
        <v>0</v>
      </c>
    </row>
    <row r="43" spans="1:13" x14ac:dyDescent="0.2">
      <c r="A43" s="4" t="s">
        <v>139</v>
      </c>
      <c r="B43" s="4" t="s">
        <v>7</v>
      </c>
      <c r="C43" s="4" t="s">
        <v>186</v>
      </c>
      <c r="D43" s="4">
        <v>2441960</v>
      </c>
      <c r="E43" s="8">
        <v>0.125</v>
      </c>
      <c r="F43" s="4" t="s">
        <v>181</v>
      </c>
      <c r="G43" s="4"/>
      <c r="H43" s="4"/>
      <c r="I43" s="4"/>
      <c r="L43" t="s">
        <v>77</v>
      </c>
      <c r="M43" s="118">
        <f t="shared" si="1"/>
        <v>0</v>
      </c>
    </row>
    <row r="44" spans="1:13" x14ac:dyDescent="0.2">
      <c r="A44" s="4" t="s">
        <v>91</v>
      </c>
      <c r="B44" s="4" t="s">
        <v>7</v>
      </c>
      <c r="C44" s="4" t="s">
        <v>187</v>
      </c>
      <c r="D44" s="4">
        <v>4033318</v>
      </c>
      <c r="E44" s="8">
        <v>0.20649999999999999</v>
      </c>
      <c r="F44" s="4" t="s">
        <v>181</v>
      </c>
      <c r="G44" s="4"/>
      <c r="H44" s="4"/>
      <c r="I44" s="4"/>
      <c r="L44" t="s">
        <v>246</v>
      </c>
      <c r="M44" s="118">
        <f t="shared" si="1"/>
        <v>8.9127994678285527E-2</v>
      </c>
    </row>
    <row r="45" spans="1:13" x14ac:dyDescent="0.2">
      <c r="A45" s="4"/>
      <c r="B45" s="4"/>
      <c r="C45" s="4"/>
      <c r="D45" s="4"/>
      <c r="E45" s="9">
        <f>SUM(E38:E44)</f>
        <v>0.50360000000000005</v>
      </c>
      <c r="F45" s="4"/>
      <c r="G45" s="4"/>
      <c r="H45" s="4"/>
      <c r="I45" s="4"/>
      <c r="L45" t="s">
        <v>153</v>
      </c>
      <c r="M45" s="118">
        <f t="shared" si="1"/>
        <v>0</v>
      </c>
    </row>
    <row r="46" spans="1:13" x14ac:dyDescent="0.2">
      <c r="A46" s="4"/>
      <c r="B46" s="4"/>
      <c r="C46" s="4"/>
      <c r="D46" s="4"/>
      <c r="E46" s="8"/>
      <c r="F46" s="4"/>
      <c r="G46" s="4"/>
      <c r="H46" s="4"/>
      <c r="I46" s="4"/>
      <c r="L46" t="s">
        <v>248</v>
      </c>
      <c r="M46" s="118">
        <f t="shared" si="1"/>
        <v>4.9063601609462548E-3</v>
      </c>
    </row>
    <row r="47" spans="1:13" x14ac:dyDescent="0.2">
      <c r="A47" s="4" t="s">
        <v>66</v>
      </c>
      <c r="B47" s="4" t="s">
        <v>7</v>
      </c>
      <c r="C47" s="4" t="s">
        <v>188</v>
      </c>
      <c r="D47" s="4">
        <v>3297475</v>
      </c>
      <c r="E47" s="9">
        <v>0.16880000000000001</v>
      </c>
      <c r="F47" s="4" t="s">
        <v>65</v>
      </c>
      <c r="G47" s="4"/>
      <c r="H47" s="4"/>
      <c r="I47" s="4"/>
      <c r="L47" t="s">
        <v>86</v>
      </c>
      <c r="M47" s="118">
        <f t="shared" si="1"/>
        <v>4.5763831116491812E-4</v>
      </c>
    </row>
    <row r="48" spans="1:13" x14ac:dyDescent="0.2">
      <c r="A48" s="4"/>
      <c r="B48" s="4"/>
      <c r="C48" s="4"/>
      <c r="D48" s="4"/>
      <c r="E48" s="8"/>
      <c r="F48" s="4"/>
      <c r="G48" s="4"/>
      <c r="H48" s="4"/>
      <c r="I48" s="4"/>
      <c r="L48" t="s">
        <v>191</v>
      </c>
      <c r="M48" s="118">
        <f t="shared" si="1"/>
        <v>1.6487118149182807E-2</v>
      </c>
    </row>
    <row r="49" spans="1:13" x14ac:dyDescent="0.2">
      <c r="A49" s="4"/>
      <c r="B49" s="4"/>
      <c r="C49" s="4"/>
      <c r="D49" s="4"/>
      <c r="E49" s="8"/>
      <c r="F49" s="4"/>
      <c r="G49" s="4"/>
      <c r="H49" s="4"/>
      <c r="I49" s="4"/>
      <c r="L49" t="s">
        <v>31</v>
      </c>
      <c r="M49" s="118">
        <f t="shared" si="1"/>
        <v>0</v>
      </c>
    </row>
    <row r="50" spans="1:13" x14ac:dyDescent="0.2">
      <c r="A50" s="4" t="s">
        <v>87</v>
      </c>
      <c r="B50" s="4" t="s">
        <v>7</v>
      </c>
      <c r="C50" s="4" t="s">
        <v>189</v>
      </c>
      <c r="D50" s="4">
        <v>1182595</v>
      </c>
      <c r="E50" s="9">
        <v>6.0499999999999998E-2</v>
      </c>
      <c r="F50" s="4" t="s">
        <v>86</v>
      </c>
      <c r="G50" s="4"/>
      <c r="H50" s="4"/>
      <c r="I50" s="4"/>
      <c r="M50" s="297">
        <f>SUM(M36:M49)</f>
        <v>1.0000000000000002</v>
      </c>
    </row>
    <row r="51" spans="1:13" x14ac:dyDescent="0.2">
      <c r="A51" s="4"/>
      <c r="B51" s="4"/>
      <c r="C51" s="4"/>
      <c r="D51" s="4"/>
      <c r="E51" s="8"/>
      <c r="F51" s="4"/>
      <c r="G51" s="4"/>
      <c r="H51" s="4"/>
      <c r="I51" s="4"/>
    </row>
    <row r="52" spans="1:13" x14ac:dyDescent="0.2">
      <c r="A52" s="4"/>
      <c r="B52" s="4"/>
      <c r="C52" s="4"/>
      <c r="D52" s="4"/>
      <c r="E52" s="8"/>
      <c r="F52" s="4"/>
      <c r="G52" s="4"/>
      <c r="H52" s="4"/>
      <c r="I52" s="4"/>
    </row>
    <row r="53" spans="1:13" x14ac:dyDescent="0.2">
      <c r="G53" s="4"/>
      <c r="H53" s="4"/>
      <c r="I53" s="4"/>
    </row>
    <row r="54" spans="1:13" x14ac:dyDescent="0.2">
      <c r="A54" s="4"/>
      <c r="B54" s="4"/>
      <c r="C54" s="4"/>
      <c r="D54" s="4"/>
      <c r="E54" s="8"/>
      <c r="F54" s="4"/>
      <c r="G54" s="4"/>
      <c r="H54" s="4"/>
      <c r="I54" s="4"/>
    </row>
    <row r="55" spans="1:13" x14ac:dyDescent="0.2">
      <c r="A55" s="4"/>
      <c r="B55" s="4"/>
      <c r="C55" s="4"/>
      <c r="D55" s="4"/>
      <c r="E55" s="8"/>
      <c r="F55" s="4"/>
      <c r="G55" s="4"/>
      <c r="H55" s="4"/>
      <c r="I55" s="4"/>
    </row>
    <row r="56" spans="1:13" x14ac:dyDescent="0.2">
      <c r="A56" s="4" t="s">
        <v>43</v>
      </c>
      <c r="B56" s="4" t="s">
        <v>7</v>
      </c>
      <c r="C56" s="4" t="s">
        <v>190</v>
      </c>
      <c r="D56" s="4">
        <v>78264</v>
      </c>
      <c r="E56" s="8">
        <v>4.0000000000000001E-3</v>
      </c>
      <c r="F56" s="11" t="s">
        <v>191</v>
      </c>
      <c r="G56" s="4"/>
      <c r="H56" s="4"/>
      <c r="I56" s="4"/>
    </row>
    <row r="57" spans="1:13" x14ac:dyDescent="0.2">
      <c r="A57" s="4" t="s">
        <v>135</v>
      </c>
      <c r="B57" s="4" t="s">
        <v>7</v>
      </c>
      <c r="C57" s="4" t="s">
        <v>192</v>
      </c>
      <c r="D57" s="4">
        <v>110735</v>
      </c>
      <c r="E57" s="8">
        <v>5.7000000000000002E-3</v>
      </c>
      <c r="F57" s="11" t="s">
        <v>191</v>
      </c>
      <c r="G57" s="4"/>
      <c r="H57" s="4"/>
      <c r="I57" s="4"/>
    </row>
    <row r="58" spans="1:13" hidden="1" x14ac:dyDescent="0.2">
      <c r="A58" s="4" t="s">
        <v>24</v>
      </c>
      <c r="B58" s="4" t="s">
        <v>7</v>
      </c>
      <c r="C58" s="4" t="s">
        <v>193</v>
      </c>
      <c r="D58" s="4" t="s">
        <v>16</v>
      </c>
      <c r="E58" s="4"/>
      <c r="F58" s="4"/>
      <c r="G58" s="4"/>
      <c r="H58" s="4"/>
      <c r="I58" s="4"/>
      <c r="K58" t="s">
        <v>662</v>
      </c>
      <c r="L58" t="s">
        <v>16</v>
      </c>
    </row>
    <row r="59" spans="1:13" hidden="1" x14ac:dyDescent="0.2">
      <c r="A59" s="4" t="s">
        <v>194</v>
      </c>
      <c r="B59" s="4" t="s">
        <v>7</v>
      </c>
      <c r="C59" s="4" t="s">
        <v>195</v>
      </c>
      <c r="D59" s="4" t="s">
        <v>16</v>
      </c>
      <c r="E59" s="4"/>
      <c r="F59" s="4"/>
      <c r="G59" s="4"/>
      <c r="H59" s="4"/>
      <c r="I59" s="4"/>
      <c r="K59" t="s">
        <v>661</v>
      </c>
      <c r="L59">
        <v>60627</v>
      </c>
    </row>
    <row r="60" spans="1:13" hidden="1" x14ac:dyDescent="0.2">
      <c r="A60" s="4" t="s">
        <v>27</v>
      </c>
      <c r="B60" s="4" t="s">
        <v>7</v>
      </c>
      <c r="C60" s="4" t="s">
        <v>196</v>
      </c>
      <c r="D60" s="4" t="s">
        <v>16</v>
      </c>
      <c r="E60" s="4"/>
      <c r="F60" s="4"/>
      <c r="G60" s="4"/>
      <c r="H60" s="4"/>
      <c r="I60" s="4"/>
      <c r="K60" t="s">
        <v>660</v>
      </c>
      <c r="L60" t="s">
        <v>16</v>
      </c>
    </row>
    <row r="61" spans="1:13" hidden="1" x14ac:dyDescent="0.2">
      <c r="A61" s="4" t="s">
        <v>32</v>
      </c>
      <c r="B61" s="4" t="s">
        <v>7</v>
      </c>
      <c r="C61" s="4" t="s">
        <v>197</v>
      </c>
      <c r="D61" s="4" t="s">
        <v>16</v>
      </c>
      <c r="E61" s="12"/>
      <c r="F61" s="4"/>
      <c r="G61" s="4"/>
      <c r="H61" s="4"/>
      <c r="I61" s="4"/>
      <c r="K61" t="s">
        <v>658</v>
      </c>
      <c r="L61" t="s">
        <v>16</v>
      </c>
    </row>
    <row r="62" spans="1:13" hidden="1" x14ac:dyDescent="0.2">
      <c r="A62" s="4" t="s">
        <v>37</v>
      </c>
      <c r="B62" s="4" t="s">
        <v>7</v>
      </c>
      <c r="C62" s="4" t="s">
        <v>198</v>
      </c>
      <c r="D62" s="4" t="s">
        <v>16</v>
      </c>
      <c r="E62" s="12"/>
      <c r="F62" s="4"/>
      <c r="G62" s="4"/>
      <c r="H62" s="4"/>
      <c r="I62" s="4"/>
      <c r="K62" t="s">
        <v>657</v>
      </c>
      <c r="L62" t="s">
        <v>16</v>
      </c>
    </row>
    <row r="63" spans="1:13" hidden="1" x14ac:dyDescent="0.2">
      <c r="A63" s="4" t="s">
        <v>41</v>
      </c>
      <c r="B63" s="4" t="s">
        <v>7</v>
      </c>
      <c r="C63" s="4" t="s">
        <v>199</v>
      </c>
      <c r="D63" s="4" t="s">
        <v>16</v>
      </c>
      <c r="E63" s="12"/>
      <c r="F63" s="4"/>
      <c r="G63" s="4"/>
      <c r="H63" s="4"/>
      <c r="I63" s="4"/>
      <c r="K63" t="s">
        <v>733</v>
      </c>
      <c r="L63" t="s">
        <v>16</v>
      </c>
    </row>
    <row r="64" spans="1:13" hidden="1" x14ac:dyDescent="0.2">
      <c r="A64" s="4" t="s">
        <v>45</v>
      </c>
      <c r="B64" s="4" t="s">
        <v>7</v>
      </c>
      <c r="C64" s="4" t="s">
        <v>200</v>
      </c>
      <c r="D64" s="4" t="s">
        <v>16</v>
      </c>
      <c r="E64" s="12"/>
      <c r="F64" s="4"/>
      <c r="G64" s="4"/>
      <c r="H64" s="4"/>
      <c r="I64" s="4"/>
      <c r="K64" t="s">
        <v>656</v>
      </c>
      <c r="L64" t="s">
        <v>16</v>
      </c>
    </row>
    <row r="65" spans="1:12" hidden="1" x14ac:dyDescent="0.2">
      <c r="A65" s="4" t="s">
        <v>201</v>
      </c>
      <c r="B65" s="4" t="s">
        <v>7</v>
      </c>
      <c r="C65" s="4" t="s">
        <v>202</v>
      </c>
      <c r="D65" s="4" t="s">
        <v>16</v>
      </c>
      <c r="E65" s="12"/>
      <c r="F65" s="4"/>
      <c r="G65" s="4"/>
      <c r="H65" s="4"/>
      <c r="I65" s="4"/>
      <c r="K65" t="s">
        <v>655</v>
      </c>
      <c r="L65" t="s">
        <v>16</v>
      </c>
    </row>
    <row r="66" spans="1:12" hidden="1" x14ac:dyDescent="0.2">
      <c r="A66" s="4" t="s">
        <v>55</v>
      </c>
      <c r="B66" s="4" t="s">
        <v>7</v>
      </c>
      <c r="C66" s="4" t="s">
        <v>203</v>
      </c>
      <c r="D66" s="4" t="s">
        <v>16</v>
      </c>
      <c r="E66" s="12"/>
      <c r="F66" s="4"/>
      <c r="G66" s="4"/>
      <c r="H66" s="4"/>
      <c r="I66" s="4"/>
      <c r="K66" t="s">
        <v>735</v>
      </c>
      <c r="L66">
        <v>50038</v>
      </c>
    </row>
    <row r="67" spans="1:12" hidden="1" x14ac:dyDescent="0.2">
      <c r="A67" s="4" t="s">
        <v>204</v>
      </c>
      <c r="B67" s="4" t="s">
        <v>7</v>
      </c>
      <c r="C67" s="4" t="s">
        <v>205</v>
      </c>
      <c r="D67" s="4" t="s">
        <v>16</v>
      </c>
      <c r="E67" s="12"/>
      <c r="F67" s="4"/>
      <c r="G67" s="4"/>
      <c r="H67" s="4"/>
      <c r="I67" s="4"/>
      <c r="K67" t="s">
        <v>653</v>
      </c>
      <c r="L67" t="s">
        <v>16</v>
      </c>
    </row>
    <row r="68" spans="1:12" hidden="1" x14ac:dyDescent="0.2">
      <c r="A68" s="4" t="s">
        <v>206</v>
      </c>
      <c r="B68" s="4" t="s">
        <v>7</v>
      </c>
      <c r="C68" s="4" t="s">
        <v>207</v>
      </c>
      <c r="D68" s="4" t="s">
        <v>16</v>
      </c>
      <c r="E68" s="12"/>
      <c r="F68" s="4"/>
      <c r="G68" s="4"/>
      <c r="H68" s="4"/>
      <c r="I68" s="4"/>
      <c r="K68" t="s">
        <v>652</v>
      </c>
      <c r="L68" t="s">
        <v>16</v>
      </c>
    </row>
    <row r="69" spans="1:12" hidden="1" x14ac:dyDescent="0.2">
      <c r="A69" s="4" t="s">
        <v>68</v>
      </c>
      <c r="B69" s="4" t="s">
        <v>7</v>
      </c>
      <c r="C69" s="4" t="s">
        <v>208</v>
      </c>
      <c r="D69" s="4" t="s">
        <v>16</v>
      </c>
      <c r="E69" s="12"/>
      <c r="F69" s="4"/>
      <c r="G69" s="4"/>
      <c r="H69" s="4"/>
      <c r="I69" s="4"/>
      <c r="K69" t="s">
        <v>651</v>
      </c>
      <c r="L69">
        <v>245514</v>
      </c>
    </row>
    <row r="70" spans="1:12" hidden="1" x14ac:dyDescent="0.2">
      <c r="A70" s="4" t="s">
        <v>71</v>
      </c>
      <c r="B70" s="4" t="s">
        <v>7</v>
      </c>
      <c r="C70" s="4" t="s">
        <v>209</v>
      </c>
      <c r="D70" s="4" t="s">
        <v>16</v>
      </c>
      <c r="E70" s="12"/>
      <c r="F70" s="4"/>
      <c r="G70" s="4"/>
      <c r="H70" s="4"/>
      <c r="I70" s="4"/>
      <c r="K70" t="s">
        <v>650</v>
      </c>
      <c r="L70" t="s">
        <v>16</v>
      </c>
    </row>
    <row r="71" spans="1:12" hidden="1" x14ac:dyDescent="0.2">
      <c r="A71" s="4" t="s">
        <v>73</v>
      </c>
      <c r="B71" s="4" t="s">
        <v>7</v>
      </c>
      <c r="C71" s="4" t="s">
        <v>210</v>
      </c>
      <c r="D71" s="4" t="s">
        <v>16</v>
      </c>
      <c r="E71" s="12"/>
      <c r="F71" s="4"/>
      <c r="G71" s="4"/>
      <c r="H71" s="4"/>
      <c r="I71" s="4"/>
      <c r="K71" t="s">
        <v>649</v>
      </c>
      <c r="L71">
        <v>376360</v>
      </c>
    </row>
    <row r="72" spans="1:12" hidden="1" x14ac:dyDescent="0.2">
      <c r="A72" s="4" t="s">
        <v>78</v>
      </c>
      <c r="B72" s="4" t="s">
        <v>7</v>
      </c>
      <c r="C72" s="4" t="s">
        <v>211</v>
      </c>
      <c r="D72" s="4" t="s">
        <v>16</v>
      </c>
      <c r="E72" s="12"/>
      <c r="F72" s="4"/>
      <c r="G72" s="4"/>
      <c r="H72" s="4"/>
      <c r="I72" s="4"/>
      <c r="K72" t="s">
        <v>648</v>
      </c>
      <c r="L72" t="s">
        <v>16</v>
      </c>
    </row>
    <row r="73" spans="1:12" hidden="1" x14ac:dyDescent="0.2">
      <c r="A73" s="4" t="s">
        <v>212</v>
      </c>
      <c r="B73" s="4" t="s">
        <v>7</v>
      </c>
      <c r="C73" s="4" t="s">
        <v>213</v>
      </c>
      <c r="D73" s="4" t="s">
        <v>16</v>
      </c>
      <c r="E73" s="12"/>
      <c r="F73" s="4"/>
      <c r="G73" s="4"/>
      <c r="H73" s="4"/>
      <c r="I73" s="4"/>
      <c r="K73" t="s">
        <v>647</v>
      </c>
      <c r="L73" t="s">
        <v>16</v>
      </c>
    </row>
    <row r="74" spans="1:12" hidden="1" x14ac:dyDescent="0.2">
      <c r="A74" s="4" t="s">
        <v>84</v>
      </c>
      <c r="B74" s="4" t="s">
        <v>7</v>
      </c>
      <c r="C74" s="4" t="s">
        <v>214</v>
      </c>
      <c r="D74" s="4" t="s">
        <v>16</v>
      </c>
      <c r="E74" s="12"/>
      <c r="F74" s="4"/>
      <c r="G74" s="4"/>
      <c r="H74" s="4"/>
      <c r="I74" s="4"/>
    </row>
    <row r="75" spans="1:12" hidden="1" x14ac:dyDescent="0.2">
      <c r="A75" s="4" t="s">
        <v>215</v>
      </c>
      <c r="B75" s="4" t="s">
        <v>7</v>
      </c>
      <c r="C75" s="4" t="s">
        <v>216</v>
      </c>
      <c r="D75" s="4" t="s">
        <v>16</v>
      </c>
      <c r="E75" s="12"/>
      <c r="F75" s="4"/>
      <c r="G75" s="4"/>
      <c r="H75" s="4"/>
      <c r="I75" s="4"/>
    </row>
    <row r="76" spans="1:12" hidden="1" x14ac:dyDescent="0.2">
      <c r="A76" s="4" t="s">
        <v>217</v>
      </c>
      <c r="B76" s="4" t="s">
        <v>7</v>
      </c>
      <c r="C76" s="4" t="s">
        <v>218</v>
      </c>
      <c r="D76" s="4" t="s">
        <v>16</v>
      </c>
      <c r="E76" s="12"/>
      <c r="F76" s="4"/>
      <c r="G76" s="4"/>
      <c r="H76" s="4"/>
      <c r="I76" s="4"/>
    </row>
    <row r="77" spans="1:12" hidden="1" x14ac:dyDescent="0.2">
      <c r="A77" s="4" t="s">
        <v>219</v>
      </c>
      <c r="B77" s="4" t="s">
        <v>7</v>
      </c>
      <c r="C77" s="4" t="s">
        <v>220</v>
      </c>
      <c r="D77" s="4" t="s">
        <v>16</v>
      </c>
      <c r="E77" s="12"/>
      <c r="F77" s="4"/>
      <c r="G77" s="4"/>
      <c r="H77" s="4"/>
      <c r="I77" s="4"/>
    </row>
    <row r="78" spans="1:12" hidden="1" x14ac:dyDescent="0.2">
      <c r="A78" s="4" t="s">
        <v>221</v>
      </c>
      <c r="B78" s="4" t="s">
        <v>7</v>
      </c>
      <c r="C78" s="4" t="s">
        <v>222</v>
      </c>
      <c r="D78" s="4" t="s">
        <v>16</v>
      </c>
      <c r="E78" s="12"/>
      <c r="F78" s="4"/>
      <c r="G78" s="4"/>
      <c r="H78" s="4"/>
      <c r="I78" s="4"/>
    </row>
    <row r="79" spans="1:12" hidden="1" x14ac:dyDescent="0.2">
      <c r="A79" s="4" t="s">
        <v>95</v>
      </c>
      <c r="B79" s="4" t="s">
        <v>7</v>
      </c>
      <c r="C79" s="4" t="s">
        <v>223</v>
      </c>
      <c r="D79" s="4" t="s">
        <v>16</v>
      </c>
      <c r="E79" s="12"/>
      <c r="F79" s="4"/>
      <c r="G79" s="4"/>
      <c r="H79" s="4"/>
      <c r="I79" s="4"/>
    </row>
    <row r="80" spans="1:12" hidden="1" x14ac:dyDescent="0.2">
      <c r="A80" s="4" t="s">
        <v>224</v>
      </c>
      <c r="B80" s="4" t="s">
        <v>7</v>
      </c>
      <c r="C80" s="4" t="s">
        <v>225</v>
      </c>
      <c r="D80" s="4" t="s">
        <v>16</v>
      </c>
      <c r="E80" s="12"/>
      <c r="F80" s="4"/>
      <c r="G80" s="4"/>
      <c r="H80" s="4"/>
      <c r="I80" s="4"/>
    </row>
    <row r="81" spans="1:9" hidden="1" x14ac:dyDescent="0.2">
      <c r="A81" s="4" t="s">
        <v>103</v>
      </c>
      <c r="B81" s="4" t="s">
        <v>7</v>
      </c>
      <c r="C81" s="4" t="s">
        <v>226</v>
      </c>
      <c r="D81" s="4" t="s">
        <v>16</v>
      </c>
      <c r="E81" s="12"/>
      <c r="F81" s="4"/>
      <c r="G81" s="4"/>
      <c r="H81" s="4"/>
      <c r="I81" s="4"/>
    </row>
    <row r="82" spans="1:9" hidden="1" x14ac:dyDescent="0.2">
      <c r="A82" s="4" t="s">
        <v>108</v>
      </c>
      <c r="B82" s="4" t="s">
        <v>7</v>
      </c>
      <c r="C82" s="4" t="s">
        <v>227</v>
      </c>
      <c r="D82" s="4" t="s">
        <v>16</v>
      </c>
      <c r="E82" s="12"/>
      <c r="F82" s="4"/>
      <c r="G82" s="4"/>
      <c r="H82" s="4"/>
      <c r="I82" s="4"/>
    </row>
    <row r="83" spans="1:9" hidden="1" x14ac:dyDescent="0.2">
      <c r="A83" s="4" t="s">
        <v>110</v>
      </c>
      <c r="B83" s="4" t="s">
        <v>7</v>
      </c>
      <c r="C83" s="4" t="s">
        <v>228</v>
      </c>
      <c r="D83" s="4" t="s">
        <v>16</v>
      </c>
      <c r="E83" s="12"/>
      <c r="F83" s="4"/>
      <c r="G83" s="4"/>
      <c r="H83" s="4"/>
      <c r="I83" s="4"/>
    </row>
    <row r="84" spans="1:9" hidden="1" x14ac:dyDescent="0.2">
      <c r="A84" s="4" t="s">
        <v>229</v>
      </c>
      <c r="B84" s="4" t="s">
        <v>7</v>
      </c>
      <c r="C84" s="4" t="s">
        <v>230</v>
      </c>
      <c r="D84" s="4" t="s">
        <v>16</v>
      </c>
      <c r="E84" s="12"/>
      <c r="F84" s="4"/>
      <c r="G84" s="4"/>
      <c r="H84" s="4"/>
      <c r="I84" s="4"/>
    </row>
    <row r="85" spans="1:9" hidden="1" x14ac:dyDescent="0.2">
      <c r="A85" s="4" t="s">
        <v>112</v>
      </c>
      <c r="B85" s="4" t="s">
        <v>7</v>
      </c>
      <c r="C85" s="4" t="s">
        <v>231</v>
      </c>
      <c r="D85" s="4" t="s">
        <v>16</v>
      </c>
      <c r="E85" s="12"/>
      <c r="F85" s="4"/>
      <c r="G85" s="4"/>
      <c r="H85" s="4"/>
      <c r="I85" s="4"/>
    </row>
    <row r="86" spans="1:9" hidden="1" x14ac:dyDescent="0.2">
      <c r="A86" s="4" t="s">
        <v>114</v>
      </c>
      <c r="B86" s="4" t="s">
        <v>7</v>
      </c>
      <c r="C86" s="4" t="s">
        <v>232</v>
      </c>
      <c r="D86" s="4" t="s">
        <v>16</v>
      </c>
      <c r="E86" s="12"/>
      <c r="F86" s="4"/>
      <c r="G86" s="4"/>
      <c r="H86" s="4"/>
      <c r="I86" s="4"/>
    </row>
    <row r="87" spans="1:9" hidden="1" x14ac:dyDescent="0.2">
      <c r="A87" s="4" t="s">
        <v>116</v>
      </c>
      <c r="B87" s="4" t="s">
        <v>7</v>
      </c>
      <c r="C87" s="4" t="s">
        <v>233</v>
      </c>
      <c r="D87" s="4" t="s">
        <v>16</v>
      </c>
      <c r="E87" s="12"/>
      <c r="F87" s="4"/>
      <c r="G87" s="4"/>
      <c r="H87" s="4"/>
      <c r="I87" s="4"/>
    </row>
    <row r="88" spans="1:9" hidden="1" x14ac:dyDescent="0.2">
      <c r="A88" s="4" t="s">
        <v>120</v>
      </c>
      <c r="B88" s="4" t="s">
        <v>7</v>
      </c>
      <c r="C88" s="4" t="s">
        <v>234</v>
      </c>
      <c r="D88" s="4" t="s">
        <v>16</v>
      </c>
      <c r="E88" s="12"/>
      <c r="F88" s="4"/>
      <c r="G88" s="4"/>
      <c r="H88" s="4"/>
      <c r="I88" s="4"/>
    </row>
    <row r="89" spans="1:9" hidden="1" x14ac:dyDescent="0.2">
      <c r="A89" s="4" t="s">
        <v>125</v>
      </c>
      <c r="B89" s="4" t="s">
        <v>7</v>
      </c>
      <c r="C89" s="4" t="s">
        <v>235</v>
      </c>
      <c r="D89" s="4" t="s">
        <v>16</v>
      </c>
      <c r="E89" s="12"/>
      <c r="F89" s="4"/>
      <c r="G89" s="4"/>
      <c r="H89" s="4"/>
      <c r="I89" s="4"/>
    </row>
    <row r="90" spans="1:9" hidden="1" x14ac:dyDescent="0.2">
      <c r="A90" s="4" t="s">
        <v>127</v>
      </c>
      <c r="B90" s="4" t="s">
        <v>7</v>
      </c>
      <c r="C90" s="4" t="s">
        <v>236</v>
      </c>
      <c r="D90" s="4" t="s">
        <v>16</v>
      </c>
      <c r="E90" s="12"/>
      <c r="F90" s="4"/>
      <c r="G90" s="4"/>
      <c r="H90" s="4"/>
      <c r="I90" s="4"/>
    </row>
    <row r="91" spans="1:9" hidden="1" x14ac:dyDescent="0.2">
      <c r="A91" s="4" t="s">
        <v>131</v>
      </c>
      <c r="B91" s="4" t="s">
        <v>7</v>
      </c>
      <c r="C91" s="4" t="s">
        <v>237</v>
      </c>
      <c r="D91" s="4" t="s">
        <v>16</v>
      </c>
      <c r="E91" s="12"/>
      <c r="F91" s="4"/>
      <c r="G91" s="4"/>
      <c r="H91" s="4"/>
      <c r="I91" s="4"/>
    </row>
    <row r="92" spans="1:9" hidden="1" x14ac:dyDescent="0.2">
      <c r="A92" s="4" t="s">
        <v>133</v>
      </c>
      <c r="B92" s="4" t="s">
        <v>7</v>
      </c>
      <c r="C92" s="4" t="s">
        <v>238</v>
      </c>
      <c r="D92" s="4" t="s">
        <v>16</v>
      </c>
      <c r="E92" s="12"/>
      <c r="F92" s="4"/>
      <c r="G92" s="4"/>
      <c r="H92" s="4"/>
      <c r="I92" s="4"/>
    </row>
    <row r="93" spans="1:9" hidden="1" x14ac:dyDescent="0.2">
      <c r="A93" s="4" t="s">
        <v>137</v>
      </c>
      <c r="B93" s="4" t="s">
        <v>7</v>
      </c>
      <c r="C93" s="4" t="s">
        <v>239</v>
      </c>
      <c r="D93" s="4" t="s">
        <v>16</v>
      </c>
      <c r="E93" s="12"/>
      <c r="F93" s="4"/>
      <c r="G93" s="4"/>
      <c r="H93" s="4"/>
      <c r="I93" s="4"/>
    </row>
    <row r="94" spans="1:9" hidden="1" x14ac:dyDescent="0.2">
      <c r="A94" s="4" t="s">
        <v>143</v>
      </c>
      <c r="B94" s="4" t="s">
        <v>7</v>
      </c>
      <c r="C94" s="4" t="s">
        <v>240</v>
      </c>
      <c r="D94" s="4" t="s">
        <v>16</v>
      </c>
      <c r="E94" s="4"/>
      <c r="F94" s="4"/>
      <c r="G94" s="4"/>
      <c r="H94" s="4"/>
      <c r="I94" s="4"/>
    </row>
    <row r="95" spans="1:9" x14ac:dyDescent="0.2">
      <c r="A95" s="4"/>
      <c r="B95" s="4"/>
      <c r="C95" s="4"/>
      <c r="D95" s="13"/>
      <c r="E95" s="14">
        <f>SUM(E56:E94)</f>
        <v>9.7000000000000003E-3</v>
      </c>
      <c r="F95" s="4"/>
      <c r="G95" s="4"/>
      <c r="H95" s="4"/>
      <c r="I95" s="4"/>
    </row>
    <row r="96" spans="1:9" x14ac:dyDescent="0.2">
      <c r="A96" s="4"/>
      <c r="B96" s="4"/>
      <c r="C96" s="4"/>
      <c r="D96" s="15">
        <v>19532787</v>
      </c>
      <c r="E96" s="15"/>
      <c r="F96" s="4"/>
      <c r="G96" s="4"/>
      <c r="H96" s="4"/>
      <c r="I96" s="4"/>
    </row>
    <row r="100" spans="5:5" x14ac:dyDescent="0.2">
      <c r="E100" s="21">
        <f>E95+E50+E47+E45+E36+E23</f>
        <v>1</v>
      </c>
    </row>
  </sheetData>
  <sortState xmlns:xlrd2="http://schemas.microsoft.com/office/spreadsheetml/2017/richdata2" ref="K12:L32">
    <sortCondition descending="1" ref="L12:L32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AB91"/>
  <sheetViews>
    <sheetView workbookViewId="0">
      <selection activeCell="AB14" sqref="AB14"/>
    </sheetView>
  </sheetViews>
  <sheetFormatPr baseColWidth="10" defaultColWidth="11" defaultRowHeight="16" x14ac:dyDescent="0.2"/>
  <cols>
    <col min="1" max="1" width="35.1640625" customWidth="1"/>
    <col min="2" max="2" width="18.1640625" customWidth="1"/>
    <col min="3" max="3" width="22" customWidth="1"/>
    <col min="4" max="19" width="13" hidden="1" customWidth="1"/>
    <col min="20" max="20" width="14" hidden="1" customWidth="1"/>
    <col min="21" max="21" width="14" bestFit="1" customWidth="1"/>
    <col min="22" max="22" width="12.1640625" customWidth="1"/>
    <col min="23" max="23" width="19.1640625" customWidth="1"/>
    <col min="25" max="25" width="27.83203125" bestFit="1" customWidth="1"/>
    <col min="26" max="26" width="12.6640625" bestFit="1" customWidth="1"/>
    <col min="28" max="28" width="17.5" bestFit="1" customWidth="1"/>
  </cols>
  <sheetData>
    <row r="1" spans="1:28" x14ac:dyDescent="0.2">
      <c r="A1" s="1" t="s">
        <v>0</v>
      </c>
    </row>
    <row r="2" spans="1:28" x14ac:dyDescent="0.2">
      <c r="A2" s="1" t="s">
        <v>1</v>
      </c>
    </row>
    <row r="3" spans="1:28" x14ac:dyDescent="0.2">
      <c r="A3" s="1" t="s">
        <v>2</v>
      </c>
    </row>
    <row r="4" spans="1:28" x14ac:dyDescent="0.2">
      <c r="A4" s="1" t="s">
        <v>3</v>
      </c>
    </row>
    <row r="5" spans="1:28" x14ac:dyDescent="0.2">
      <c r="A5" t="s">
        <v>4</v>
      </c>
      <c r="B5" t="s">
        <v>5</v>
      </c>
      <c r="C5" t="s">
        <v>6</v>
      </c>
      <c r="D5" s="1">
        <v>2001</v>
      </c>
      <c r="E5" s="1">
        <v>2002</v>
      </c>
      <c r="F5" s="1">
        <v>2003</v>
      </c>
      <c r="G5" s="1">
        <v>2004</v>
      </c>
      <c r="H5" s="1">
        <v>2005</v>
      </c>
      <c r="I5" s="1">
        <v>2006</v>
      </c>
      <c r="J5" s="1">
        <v>2007</v>
      </c>
      <c r="K5" s="1">
        <v>2008</v>
      </c>
      <c r="L5" s="1">
        <v>2009</v>
      </c>
      <c r="M5" s="1">
        <v>2010</v>
      </c>
      <c r="N5" s="1">
        <v>2011</v>
      </c>
      <c r="O5" s="1">
        <v>2012</v>
      </c>
      <c r="P5" s="1">
        <v>2013</v>
      </c>
      <c r="Q5" s="1">
        <v>2014</v>
      </c>
      <c r="R5" s="1">
        <v>2015</v>
      </c>
      <c r="S5" s="1">
        <v>2016</v>
      </c>
      <c r="T5" s="1">
        <v>2017</v>
      </c>
      <c r="U5" s="1">
        <v>2018</v>
      </c>
      <c r="V5" s="1" t="s">
        <v>147</v>
      </c>
      <c r="Y5" s="291" t="s">
        <v>708</v>
      </c>
      <c r="Z5" s="292" t="s">
        <v>709</v>
      </c>
      <c r="AA5" s="292" t="s">
        <v>710</v>
      </c>
      <c r="AB5" s="292" t="s">
        <v>711</v>
      </c>
    </row>
    <row r="6" spans="1:28" x14ac:dyDescent="0.2">
      <c r="A6" t="s">
        <v>0</v>
      </c>
      <c r="B6" t="s">
        <v>7</v>
      </c>
      <c r="Y6" t="s">
        <v>683</v>
      </c>
      <c r="Z6" s="24">
        <v>9268481</v>
      </c>
      <c r="AA6" s="257">
        <f>+Z6/$Z$20</f>
        <v>0.71583663892441629</v>
      </c>
      <c r="AB6" t="s">
        <v>65</v>
      </c>
    </row>
    <row r="7" spans="1:28" x14ac:dyDescent="0.2">
      <c r="A7" t="s">
        <v>8</v>
      </c>
      <c r="C7" t="s">
        <v>9</v>
      </c>
      <c r="Y7" t="s">
        <v>691</v>
      </c>
      <c r="Z7" s="24">
        <v>876368</v>
      </c>
      <c r="AA7" s="257">
        <f t="shared" ref="AA7:AA20" si="0">+Z7/$Z$20</f>
        <v>6.7684912293709487E-2</v>
      </c>
      <c r="AB7" t="s">
        <v>246</v>
      </c>
    </row>
    <row r="8" spans="1:28" x14ac:dyDescent="0.2">
      <c r="A8" t="s">
        <v>10</v>
      </c>
      <c r="B8" t="s">
        <v>7</v>
      </c>
      <c r="C8" t="s">
        <v>11</v>
      </c>
      <c r="D8">
        <v>4723442</v>
      </c>
      <c r="E8">
        <v>3637038</v>
      </c>
      <c r="F8">
        <v>3067324</v>
      </c>
      <c r="G8">
        <v>4739608</v>
      </c>
      <c r="H8">
        <v>5019987</v>
      </c>
      <c r="I8">
        <v>5899959</v>
      </c>
      <c r="J8">
        <v>7881116</v>
      </c>
      <c r="K8">
        <v>10990192</v>
      </c>
      <c r="L8">
        <v>6710622</v>
      </c>
      <c r="M8">
        <v>13857299</v>
      </c>
      <c r="N8">
        <v>19259578</v>
      </c>
      <c r="O8">
        <v>19587543</v>
      </c>
      <c r="P8">
        <v>15056151</v>
      </c>
      <c r="Q8">
        <v>12893192</v>
      </c>
      <c r="R8">
        <v>14292840</v>
      </c>
      <c r="S8">
        <v>14381776</v>
      </c>
      <c r="T8">
        <v>20595311</v>
      </c>
      <c r="U8">
        <v>21875784</v>
      </c>
      <c r="V8" s="3"/>
      <c r="Y8" t="s">
        <v>699</v>
      </c>
      <c r="Z8" s="24">
        <v>779088</v>
      </c>
      <c r="AA8" s="257">
        <f t="shared" si="0"/>
        <v>6.0171643589315836E-2</v>
      </c>
      <c r="AB8" t="s">
        <v>31</v>
      </c>
    </row>
    <row r="9" spans="1:28" x14ac:dyDescent="0.2">
      <c r="A9" t="s">
        <v>12</v>
      </c>
      <c r="B9" t="s">
        <v>7</v>
      </c>
      <c r="C9" t="s">
        <v>13</v>
      </c>
      <c r="D9">
        <v>4383501</v>
      </c>
      <c r="E9">
        <v>3097162</v>
      </c>
      <c r="F9">
        <v>2941380</v>
      </c>
      <c r="G9">
        <v>4033110</v>
      </c>
      <c r="H9">
        <v>4433960</v>
      </c>
      <c r="I9">
        <v>5108817</v>
      </c>
      <c r="J9">
        <v>6810169</v>
      </c>
      <c r="K9">
        <v>5681442</v>
      </c>
      <c r="L9">
        <v>3492288</v>
      </c>
      <c r="M9">
        <v>2017765</v>
      </c>
      <c r="N9">
        <v>3899487</v>
      </c>
      <c r="O9">
        <v>4431867</v>
      </c>
      <c r="P9">
        <v>4057168</v>
      </c>
      <c r="Q9">
        <v>3371568</v>
      </c>
      <c r="R9">
        <v>4403245</v>
      </c>
      <c r="S9">
        <v>5224123</v>
      </c>
      <c r="T9">
        <v>10099359</v>
      </c>
      <c r="U9">
        <v>11300277</v>
      </c>
      <c r="V9" s="3"/>
      <c r="Y9" s="5" t="s">
        <v>672</v>
      </c>
      <c r="Z9" s="24">
        <v>777678</v>
      </c>
      <c r="AA9" s="257">
        <f t="shared" si="0"/>
        <v>6.0062744443826574E-2</v>
      </c>
      <c r="AB9" t="s">
        <v>265</v>
      </c>
    </row>
    <row r="10" spans="1:28" x14ac:dyDescent="0.2">
      <c r="V10" s="3"/>
      <c r="Y10" t="s">
        <v>701</v>
      </c>
      <c r="Z10" s="24">
        <v>491047</v>
      </c>
      <c r="AA10" s="257">
        <f t="shared" si="0"/>
        <v>3.7925247301463731E-2</v>
      </c>
      <c r="AB10" t="s">
        <v>26</v>
      </c>
    </row>
    <row r="11" spans="1:28" x14ac:dyDescent="0.2">
      <c r="V11" s="3"/>
      <c r="Y11" t="s">
        <v>689</v>
      </c>
      <c r="Z11" s="24">
        <v>368490</v>
      </c>
      <c r="AA11" s="257">
        <f t="shared" si="0"/>
        <v>2.8459749022224694E-2</v>
      </c>
      <c r="AB11" t="s">
        <v>148</v>
      </c>
    </row>
    <row r="12" spans="1:28" x14ac:dyDescent="0.2">
      <c r="U12" s="1">
        <v>2018</v>
      </c>
      <c r="V12" s="1" t="s">
        <v>147</v>
      </c>
      <c r="W12" s="1" t="s">
        <v>154</v>
      </c>
      <c r="Y12" t="s">
        <v>676</v>
      </c>
      <c r="Z12" s="24">
        <v>162384</v>
      </c>
      <c r="AA12" s="257">
        <f t="shared" si="0"/>
        <v>1.2541474355409738E-2</v>
      </c>
      <c r="AB12" t="s">
        <v>148</v>
      </c>
    </row>
    <row r="13" spans="1:28" x14ac:dyDescent="0.2">
      <c r="A13" t="s">
        <v>89</v>
      </c>
      <c r="B13" t="s">
        <v>7</v>
      </c>
      <c r="C13" t="s">
        <v>90</v>
      </c>
      <c r="D13" s="2" t="s">
        <v>16</v>
      </c>
      <c r="E13" s="2">
        <v>140166</v>
      </c>
      <c r="F13" s="2">
        <v>138678</v>
      </c>
      <c r="G13" s="2">
        <v>68337</v>
      </c>
      <c r="H13" s="2">
        <v>69116</v>
      </c>
      <c r="I13" s="2" t="s">
        <v>16</v>
      </c>
      <c r="J13" s="2">
        <v>139607</v>
      </c>
      <c r="K13" s="2">
        <v>139203</v>
      </c>
      <c r="L13" s="2">
        <v>200141</v>
      </c>
      <c r="M13" s="2">
        <v>70513</v>
      </c>
      <c r="N13" s="2" t="s">
        <v>16</v>
      </c>
      <c r="O13" s="2">
        <v>142050</v>
      </c>
      <c r="P13" s="2" t="s">
        <v>16</v>
      </c>
      <c r="Q13" s="2" t="s">
        <v>16</v>
      </c>
      <c r="R13" s="2" t="s">
        <v>16</v>
      </c>
      <c r="S13" s="2" t="s">
        <v>16</v>
      </c>
      <c r="T13" s="2">
        <v>58120</v>
      </c>
      <c r="U13" s="2">
        <v>41037</v>
      </c>
      <c r="V13" s="6">
        <f>U13/$U$90</f>
        <v>3.631503900302621E-3</v>
      </c>
      <c r="W13" t="s">
        <v>152</v>
      </c>
      <c r="Y13" t="s">
        <v>697</v>
      </c>
      <c r="Z13" s="24">
        <v>135584</v>
      </c>
      <c r="AA13" s="257">
        <f t="shared" si="0"/>
        <v>1.0471618256748657E-2</v>
      </c>
      <c r="AB13" t="s">
        <v>36</v>
      </c>
    </row>
    <row r="14" spans="1:28" x14ac:dyDescent="0.2">
      <c r="A14" t="s">
        <v>118</v>
      </c>
      <c r="B14" t="s">
        <v>7</v>
      </c>
      <c r="C14" t="s">
        <v>119</v>
      </c>
      <c r="D14" s="2" t="s">
        <v>16</v>
      </c>
      <c r="E14" s="2" t="s">
        <v>16</v>
      </c>
      <c r="F14" s="2" t="s">
        <v>16</v>
      </c>
      <c r="G14" s="2" t="s">
        <v>16</v>
      </c>
      <c r="H14" s="2">
        <v>2756</v>
      </c>
      <c r="I14" s="2" t="s">
        <v>16</v>
      </c>
      <c r="J14" s="2" t="s">
        <v>16</v>
      </c>
      <c r="K14" s="2" t="s">
        <v>16</v>
      </c>
      <c r="L14" s="2" t="s">
        <v>16</v>
      </c>
      <c r="M14" s="2" t="s">
        <v>16</v>
      </c>
      <c r="N14" s="2" t="s">
        <v>16</v>
      </c>
      <c r="O14" s="2" t="s">
        <v>16</v>
      </c>
      <c r="P14" s="2" t="s">
        <v>16</v>
      </c>
      <c r="Q14" s="2" t="s">
        <v>16</v>
      </c>
      <c r="R14" s="2" t="s">
        <v>16</v>
      </c>
      <c r="S14" s="2" t="s">
        <v>16</v>
      </c>
      <c r="T14" s="2" t="s">
        <v>16</v>
      </c>
      <c r="U14" s="2">
        <v>112</v>
      </c>
      <c r="V14" s="6">
        <f>U14/$U$90</f>
        <v>9.9112614673073937E-6</v>
      </c>
      <c r="W14" s="2" t="s">
        <v>148</v>
      </c>
      <c r="Y14" t="s">
        <v>668</v>
      </c>
      <c r="Z14" s="24">
        <v>65036</v>
      </c>
      <c r="AA14" s="257">
        <f t="shared" si="0"/>
        <v>5.0229537773329135E-3</v>
      </c>
      <c r="AB14" s="11" t="s">
        <v>191</v>
      </c>
    </row>
    <row r="15" spans="1:28" x14ac:dyDescent="0.2">
      <c r="A15" t="s">
        <v>39</v>
      </c>
      <c r="B15" t="s">
        <v>7</v>
      </c>
      <c r="C15" t="s">
        <v>40</v>
      </c>
      <c r="D15" s="2" t="s">
        <v>16</v>
      </c>
      <c r="E15" s="2" t="s">
        <v>16</v>
      </c>
      <c r="F15" s="2" t="s">
        <v>16</v>
      </c>
      <c r="G15" s="2" t="s">
        <v>16</v>
      </c>
      <c r="H15" s="2" t="s">
        <v>16</v>
      </c>
      <c r="I15" s="2" t="s">
        <v>16</v>
      </c>
      <c r="J15" s="2" t="s">
        <v>16</v>
      </c>
      <c r="K15" s="2" t="s">
        <v>16</v>
      </c>
      <c r="L15" s="2" t="s">
        <v>16</v>
      </c>
      <c r="M15" s="2" t="s">
        <v>16</v>
      </c>
      <c r="N15" s="2" t="s">
        <v>16</v>
      </c>
      <c r="O15" s="2" t="s">
        <v>16</v>
      </c>
      <c r="P15" s="2" t="s">
        <v>16</v>
      </c>
      <c r="Q15" s="2" t="s">
        <v>16</v>
      </c>
      <c r="R15" s="2" t="s">
        <v>16</v>
      </c>
      <c r="S15" s="2" t="s">
        <v>16</v>
      </c>
      <c r="T15" s="2" t="s">
        <v>16</v>
      </c>
      <c r="U15" s="2">
        <v>17328</v>
      </c>
      <c r="V15" s="6">
        <f>U15/$U$90</f>
        <v>1.5334137384419868E-3</v>
      </c>
      <c r="W15" s="2" t="s">
        <v>148</v>
      </c>
      <c r="Y15" t="s">
        <v>696</v>
      </c>
      <c r="Z15" s="24">
        <v>22271</v>
      </c>
      <c r="AA15" s="257">
        <f t="shared" si="0"/>
        <v>1.720065864674662E-3</v>
      </c>
      <c r="AB15" t="s">
        <v>148</v>
      </c>
    </row>
    <row r="16" spans="1:28" x14ac:dyDescent="0.2">
      <c r="A16" t="s">
        <v>53</v>
      </c>
      <c r="B16" t="s">
        <v>7</v>
      </c>
      <c r="C16" t="s">
        <v>54</v>
      </c>
      <c r="D16" s="2" t="s">
        <v>16</v>
      </c>
      <c r="E16" s="2" t="s">
        <v>16</v>
      </c>
      <c r="F16" s="2" t="s">
        <v>16</v>
      </c>
      <c r="G16" s="2" t="s">
        <v>16</v>
      </c>
      <c r="H16" s="2" t="s">
        <v>16</v>
      </c>
      <c r="I16" s="2" t="s">
        <v>16</v>
      </c>
      <c r="J16" s="2" t="s">
        <v>16</v>
      </c>
      <c r="K16" s="2" t="s">
        <v>16</v>
      </c>
      <c r="L16" s="2" t="s">
        <v>16</v>
      </c>
      <c r="M16" s="2" t="s">
        <v>16</v>
      </c>
      <c r="N16" s="2" t="s">
        <v>16</v>
      </c>
      <c r="O16" s="2" t="s">
        <v>16</v>
      </c>
      <c r="P16" s="2" t="s">
        <v>16</v>
      </c>
      <c r="Q16" s="2" t="s">
        <v>16</v>
      </c>
      <c r="R16" s="2" t="s">
        <v>16</v>
      </c>
      <c r="S16" s="2" t="s">
        <v>16</v>
      </c>
      <c r="T16" s="2">
        <v>511951</v>
      </c>
      <c r="U16" s="2">
        <v>977527</v>
      </c>
      <c r="V16" s="6">
        <f>U16/$U$90</f>
        <v>8.6504693646005312E-2</v>
      </c>
      <c r="W16" t="s">
        <v>148</v>
      </c>
      <c r="Y16" t="s">
        <v>698</v>
      </c>
      <c r="Z16" s="24">
        <v>545</v>
      </c>
      <c r="AA16" s="257">
        <f t="shared" si="0"/>
        <v>4.2092222901876464E-5</v>
      </c>
      <c r="AB16" t="s">
        <v>246</v>
      </c>
    </row>
    <row r="17" spans="1:28" x14ac:dyDescent="0.2"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7">
        <f>SUM(V13:V16)</f>
        <v>9.1679522546217224E-2</v>
      </c>
      <c r="Y17" t="s">
        <v>681</v>
      </c>
      <c r="Z17" s="24">
        <v>440</v>
      </c>
      <c r="AA17" s="257">
        <f t="shared" si="0"/>
        <v>3.3982712067569989E-5</v>
      </c>
      <c r="AB17" t="s">
        <v>265</v>
      </c>
    </row>
    <row r="18" spans="1:28" x14ac:dyDescent="0.2"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6"/>
      <c r="Y18" t="s">
        <v>666</v>
      </c>
      <c r="Z18" s="24">
        <v>313</v>
      </c>
      <c r="AA18" s="257">
        <f t="shared" si="0"/>
        <v>2.4174065629885017E-5</v>
      </c>
      <c r="AB18" t="s">
        <v>246</v>
      </c>
    </row>
    <row r="19" spans="1:28" x14ac:dyDescent="0.2">
      <c r="A19" t="s">
        <v>34</v>
      </c>
      <c r="B19" t="s">
        <v>7</v>
      </c>
      <c r="C19" t="s">
        <v>35</v>
      </c>
      <c r="D19" s="2">
        <v>20</v>
      </c>
      <c r="E19" s="2">
        <v>663</v>
      </c>
      <c r="F19" s="2">
        <v>94</v>
      </c>
      <c r="G19" s="2" t="s">
        <v>16</v>
      </c>
      <c r="H19" s="2">
        <v>188</v>
      </c>
      <c r="I19" s="2">
        <v>1034</v>
      </c>
      <c r="J19" s="2">
        <v>4902</v>
      </c>
      <c r="K19" s="2">
        <v>1646</v>
      </c>
      <c r="L19" s="2">
        <v>1243</v>
      </c>
      <c r="M19" s="2">
        <v>165211</v>
      </c>
      <c r="N19" s="2">
        <v>109339</v>
      </c>
      <c r="O19" s="2">
        <v>273494</v>
      </c>
      <c r="P19" s="2">
        <v>132423</v>
      </c>
      <c r="Q19" s="2">
        <v>563</v>
      </c>
      <c r="R19" s="2">
        <v>114</v>
      </c>
      <c r="S19" s="2">
        <v>58</v>
      </c>
      <c r="T19" s="2" t="s">
        <v>16</v>
      </c>
      <c r="U19" s="2">
        <v>386</v>
      </c>
      <c r="V19" s="6">
        <f>U19/$U$90</f>
        <v>3.415845469982727E-5</v>
      </c>
      <c r="W19" t="s">
        <v>151</v>
      </c>
      <c r="Y19" t="s">
        <v>702</v>
      </c>
      <c r="Z19" s="24">
        <v>35</v>
      </c>
      <c r="AA19" s="257">
        <f t="shared" si="0"/>
        <v>2.7031702781021583E-6</v>
      </c>
      <c r="AB19" t="s">
        <v>265</v>
      </c>
    </row>
    <row r="20" spans="1:28" x14ac:dyDescent="0.2">
      <c r="A20" t="s">
        <v>49</v>
      </c>
      <c r="B20" t="s">
        <v>7</v>
      </c>
      <c r="C20" t="s">
        <v>50</v>
      </c>
      <c r="D20" s="2" t="s">
        <v>16</v>
      </c>
      <c r="E20" s="2" t="s">
        <v>16</v>
      </c>
      <c r="F20" s="2" t="s">
        <v>16</v>
      </c>
      <c r="G20" s="2" t="s">
        <v>16</v>
      </c>
      <c r="H20" s="2" t="s">
        <v>16</v>
      </c>
      <c r="I20" s="2" t="s">
        <v>16</v>
      </c>
      <c r="J20" s="2" t="s">
        <v>16</v>
      </c>
      <c r="K20" s="2" t="s">
        <v>16</v>
      </c>
      <c r="L20" s="2" t="s">
        <v>16</v>
      </c>
      <c r="M20" s="2" t="s">
        <v>16</v>
      </c>
      <c r="N20" s="2" t="s">
        <v>16</v>
      </c>
      <c r="O20" s="2">
        <v>51135</v>
      </c>
      <c r="P20" s="2">
        <v>179577</v>
      </c>
      <c r="Q20" s="2">
        <v>20</v>
      </c>
      <c r="R20" s="2" t="s">
        <v>16</v>
      </c>
      <c r="S20" s="2" t="s">
        <v>16</v>
      </c>
      <c r="T20" s="2" t="s">
        <v>16</v>
      </c>
      <c r="U20" s="2">
        <v>42578</v>
      </c>
      <c r="V20" s="6">
        <f>U20/$U$90</f>
        <v>3.7678722388840556E-3</v>
      </c>
      <c r="W20" t="s">
        <v>151</v>
      </c>
      <c r="Z20" s="293">
        <f>SUM(Z6:Z19)</f>
        <v>12947760</v>
      </c>
      <c r="AA20" s="294">
        <f t="shared" si="0"/>
        <v>1</v>
      </c>
    </row>
    <row r="21" spans="1:28" x14ac:dyDescent="0.2">
      <c r="A21" t="s">
        <v>131</v>
      </c>
      <c r="B21" t="s">
        <v>7</v>
      </c>
      <c r="C21" t="s">
        <v>132</v>
      </c>
      <c r="D21" s="2" t="s">
        <v>16</v>
      </c>
      <c r="E21" s="2" t="s">
        <v>16</v>
      </c>
      <c r="F21" s="2" t="s">
        <v>16</v>
      </c>
      <c r="G21" s="2" t="s">
        <v>16</v>
      </c>
      <c r="H21" s="2">
        <v>20</v>
      </c>
      <c r="I21" s="2" t="s">
        <v>16</v>
      </c>
      <c r="J21" s="2" t="s">
        <v>16</v>
      </c>
      <c r="K21" s="2" t="s">
        <v>16</v>
      </c>
      <c r="L21" s="2" t="s">
        <v>16</v>
      </c>
      <c r="M21" s="2">
        <v>1159</v>
      </c>
      <c r="N21" s="2" t="s">
        <v>16</v>
      </c>
      <c r="O21" s="2" t="s">
        <v>16</v>
      </c>
      <c r="P21" s="2" t="s">
        <v>16</v>
      </c>
      <c r="Q21" s="2" t="s">
        <v>16</v>
      </c>
      <c r="R21" s="2" t="s">
        <v>16</v>
      </c>
      <c r="S21" s="2" t="s">
        <v>16</v>
      </c>
      <c r="T21" s="2">
        <v>43</v>
      </c>
      <c r="U21" s="2">
        <v>60243</v>
      </c>
      <c r="V21" s="6">
        <f>U21/$U$90</f>
        <v>5.3311082551339229E-3</v>
      </c>
      <c r="W21" t="s">
        <v>151</v>
      </c>
    </row>
    <row r="22" spans="1:28" x14ac:dyDescent="0.2"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7">
        <f>SUM(V19:V21)</f>
        <v>9.1331389487178047E-3</v>
      </c>
      <c r="Z22" s="22" t="str">
        <f>+AB22</f>
        <v>India</v>
      </c>
      <c r="AA22" s="295">
        <f>+SUMIF($AB$6:$AB$19,AB22,$AA$6:$AA$19)</f>
        <v>0.71583663892441629</v>
      </c>
      <c r="AB22" t="s">
        <v>65</v>
      </c>
    </row>
    <row r="23" spans="1:28" x14ac:dyDescent="0.2"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6"/>
      <c r="Z23" s="22" t="str">
        <f t="shared" ref="Z23:Z29" si="1">+AB23</f>
        <v>Americas Non-OECD</v>
      </c>
      <c r="AA23" s="295">
        <f t="shared" ref="AA23:AA29" si="2">+SUMIF($AB$6:$AB$19,AB23,$AA$6:$AA$19)</f>
        <v>6.7751178582241237E-2</v>
      </c>
      <c r="AB23" t="s">
        <v>246</v>
      </c>
    </row>
    <row r="24" spans="1:28" x14ac:dyDescent="0.2">
      <c r="A24" t="s">
        <v>93</v>
      </c>
      <c r="B24" t="s">
        <v>7</v>
      </c>
      <c r="C24" t="s">
        <v>94</v>
      </c>
      <c r="D24" s="2" t="s">
        <v>16</v>
      </c>
      <c r="E24" s="2" t="s">
        <v>16</v>
      </c>
      <c r="F24" s="2" t="s">
        <v>16</v>
      </c>
      <c r="G24" s="2" t="s">
        <v>16</v>
      </c>
      <c r="H24" s="2" t="s">
        <v>16</v>
      </c>
      <c r="I24" s="2" t="s">
        <v>16</v>
      </c>
      <c r="J24" s="2" t="s">
        <v>16</v>
      </c>
      <c r="K24" s="2" t="s">
        <v>16</v>
      </c>
      <c r="L24" s="2" t="s">
        <v>16</v>
      </c>
      <c r="M24" s="2" t="s">
        <v>16</v>
      </c>
      <c r="N24" s="2" t="s">
        <v>16</v>
      </c>
      <c r="O24" s="2" t="s">
        <v>16</v>
      </c>
      <c r="P24" s="2" t="s">
        <v>16</v>
      </c>
      <c r="Q24" s="2" t="s">
        <v>16</v>
      </c>
      <c r="R24" s="2" t="s">
        <v>16</v>
      </c>
      <c r="S24" s="2" t="s">
        <v>16</v>
      </c>
      <c r="T24" s="2" t="s">
        <v>16</v>
      </c>
      <c r="U24" s="2">
        <v>29</v>
      </c>
      <c r="V24" s="7">
        <f>U24/$U$90</f>
        <v>2.5663087727849505E-6</v>
      </c>
      <c r="W24" s="2" t="s">
        <v>150</v>
      </c>
      <c r="Z24" s="22" t="str">
        <f t="shared" si="1"/>
        <v>Canada</v>
      </c>
      <c r="AA24" s="295">
        <f t="shared" si="2"/>
        <v>6.0171643589315836E-2</v>
      </c>
      <c r="AB24" t="s">
        <v>31</v>
      </c>
    </row>
    <row r="25" spans="1:28" x14ac:dyDescent="0.2"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6"/>
      <c r="W25" s="2"/>
      <c r="Z25" s="22" t="str">
        <f t="shared" si="1"/>
        <v>OECD - EU</v>
      </c>
      <c r="AA25" s="295">
        <f t="shared" si="2"/>
        <v>6.0099430326172251E-2</v>
      </c>
      <c r="AB25" t="s">
        <v>265</v>
      </c>
    </row>
    <row r="26" spans="1:28" x14ac:dyDescent="0.2"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6"/>
      <c r="W26" s="2"/>
      <c r="Z26" s="22" t="str">
        <f t="shared" si="1"/>
        <v>Brazil</v>
      </c>
      <c r="AA26" s="295">
        <f t="shared" si="2"/>
        <v>3.7925247301463731E-2</v>
      </c>
      <c r="AB26" t="s">
        <v>26</v>
      </c>
    </row>
    <row r="27" spans="1:28" x14ac:dyDescent="0.2">
      <c r="A27" t="s">
        <v>27</v>
      </c>
      <c r="B27" t="s">
        <v>7</v>
      </c>
      <c r="C27" t="s">
        <v>28</v>
      </c>
      <c r="D27" s="2" t="s">
        <v>16</v>
      </c>
      <c r="E27" s="2" t="s">
        <v>16</v>
      </c>
      <c r="F27" s="2">
        <v>22105</v>
      </c>
      <c r="G27" s="2">
        <v>379793</v>
      </c>
      <c r="H27" s="2">
        <v>179770</v>
      </c>
      <c r="I27" s="2" t="s">
        <v>16</v>
      </c>
      <c r="J27" s="2">
        <v>47676</v>
      </c>
      <c r="K27" s="2">
        <v>224703</v>
      </c>
      <c r="L27" s="2">
        <v>155</v>
      </c>
      <c r="M27" s="2">
        <v>55</v>
      </c>
      <c r="N27" s="2">
        <v>36380</v>
      </c>
      <c r="O27" s="2" t="s">
        <v>16</v>
      </c>
      <c r="P27" s="2">
        <v>34524</v>
      </c>
      <c r="Q27" s="2">
        <v>74210</v>
      </c>
      <c r="R27" s="2" t="s">
        <v>16</v>
      </c>
      <c r="S27" s="2" t="s">
        <v>16</v>
      </c>
      <c r="T27" s="2" t="s">
        <v>16</v>
      </c>
      <c r="U27" s="2">
        <v>80019</v>
      </c>
      <c r="V27" s="7">
        <f>U27/$U$90</f>
        <v>7.0811538513613432E-3</v>
      </c>
      <c r="W27" s="2" t="s">
        <v>26</v>
      </c>
      <c r="Z27" s="22" t="str">
        <f t="shared" si="1"/>
        <v>Africa</v>
      </c>
      <c r="AA27" s="295">
        <f t="shared" si="2"/>
        <v>4.2721289242309099E-2</v>
      </c>
      <c r="AB27" t="s">
        <v>148</v>
      </c>
    </row>
    <row r="28" spans="1:28" x14ac:dyDescent="0.2"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6"/>
      <c r="W28" s="2"/>
      <c r="Z28" s="22" t="str">
        <f t="shared" si="1"/>
        <v>China</v>
      </c>
      <c r="AA28" s="295">
        <f t="shared" si="2"/>
        <v>1.0471618256748657E-2</v>
      </c>
      <c r="AB28" t="s">
        <v>36</v>
      </c>
    </row>
    <row r="29" spans="1:28" x14ac:dyDescent="0.2"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6"/>
      <c r="W29" s="2"/>
      <c r="Z29" s="22" t="str">
        <f t="shared" si="1"/>
        <v xml:space="preserve">non-OECD Europe and Eurasia </v>
      </c>
      <c r="AA29" s="295">
        <f t="shared" si="2"/>
        <v>5.0229537773329135E-3</v>
      </c>
      <c r="AB29" t="s">
        <v>191</v>
      </c>
    </row>
    <row r="30" spans="1:28" x14ac:dyDescent="0.2">
      <c r="A30" t="s">
        <v>32</v>
      </c>
      <c r="B30" t="s">
        <v>7</v>
      </c>
      <c r="C30" t="s">
        <v>33</v>
      </c>
      <c r="D30" s="2">
        <v>529670</v>
      </c>
      <c r="E30" s="2">
        <v>183629</v>
      </c>
      <c r="F30" s="2">
        <v>556521</v>
      </c>
      <c r="G30" s="2">
        <v>353963</v>
      </c>
      <c r="H30" s="2">
        <v>251406</v>
      </c>
      <c r="I30" s="2">
        <v>556148</v>
      </c>
      <c r="J30" s="2">
        <v>927479</v>
      </c>
      <c r="K30" s="2">
        <v>1040690</v>
      </c>
      <c r="L30" s="2">
        <v>323349</v>
      </c>
      <c r="M30" s="2">
        <v>43939</v>
      </c>
      <c r="N30" s="2">
        <v>240434</v>
      </c>
      <c r="O30" s="2">
        <v>275452</v>
      </c>
      <c r="P30" s="2">
        <v>69481</v>
      </c>
      <c r="Q30" s="2">
        <v>139417</v>
      </c>
      <c r="R30" s="2">
        <v>102895</v>
      </c>
      <c r="S30" s="2">
        <v>228586</v>
      </c>
      <c r="T30" s="2">
        <v>188913</v>
      </c>
      <c r="U30" s="2">
        <v>347138</v>
      </c>
      <c r="V30" s="7">
        <f>U30/$U$90</f>
        <v>3.0719423957483519E-2</v>
      </c>
      <c r="W30" t="s">
        <v>31</v>
      </c>
      <c r="AA30" s="296">
        <f>SUM(AA22:AA29)</f>
        <v>1</v>
      </c>
    </row>
    <row r="31" spans="1:28" x14ac:dyDescent="0.2"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6"/>
    </row>
    <row r="32" spans="1:28" x14ac:dyDescent="0.2"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6"/>
    </row>
    <row r="33" spans="1:23" x14ac:dyDescent="0.2">
      <c r="A33" t="s">
        <v>24</v>
      </c>
      <c r="B33" t="s">
        <v>7</v>
      </c>
      <c r="C33" t="s">
        <v>25</v>
      </c>
      <c r="D33" s="2">
        <v>668564</v>
      </c>
      <c r="E33" s="2">
        <v>504406</v>
      </c>
      <c r="F33" s="2">
        <v>383730</v>
      </c>
      <c r="G33" s="2">
        <v>472885</v>
      </c>
      <c r="H33" s="2">
        <v>452645</v>
      </c>
      <c r="I33" s="2">
        <v>399792</v>
      </c>
      <c r="J33" s="2">
        <v>450082</v>
      </c>
      <c r="K33" s="2">
        <v>416094</v>
      </c>
      <c r="L33" s="2">
        <v>328570</v>
      </c>
      <c r="M33" s="2">
        <v>263220</v>
      </c>
      <c r="N33" s="2">
        <v>492295</v>
      </c>
      <c r="O33" s="2">
        <v>257737</v>
      </c>
      <c r="P33" s="2">
        <v>128363</v>
      </c>
      <c r="Q33" s="2" t="s">
        <v>16</v>
      </c>
      <c r="R33" s="2" t="s">
        <v>16</v>
      </c>
      <c r="S33" s="2" t="s">
        <v>16</v>
      </c>
      <c r="T33" s="2" t="s">
        <v>16</v>
      </c>
      <c r="U33" s="2">
        <v>35</v>
      </c>
      <c r="V33" s="6">
        <f t="shared" ref="V33:V40" si="3">U33/$U$90</f>
        <v>3.0972692085335605E-6</v>
      </c>
      <c r="W33" s="4" t="s">
        <v>149</v>
      </c>
    </row>
    <row r="34" spans="1:23" x14ac:dyDescent="0.2">
      <c r="A34" t="s">
        <v>55</v>
      </c>
      <c r="B34" t="s">
        <v>7</v>
      </c>
      <c r="C34" t="s">
        <v>56</v>
      </c>
      <c r="D34" s="2" t="s">
        <v>16</v>
      </c>
      <c r="E34" s="2" t="s">
        <v>16</v>
      </c>
      <c r="F34" s="2">
        <v>72422</v>
      </c>
      <c r="G34" s="2" t="s">
        <v>16</v>
      </c>
      <c r="H34" s="2" t="s">
        <v>16</v>
      </c>
      <c r="I34" s="2">
        <v>397225</v>
      </c>
      <c r="J34" s="2">
        <v>194083</v>
      </c>
      <c r="K34" s="2">
        <v>77507</v>
      </c>
      <c r="L34" s="2">
        <v>78109</v>
      </c>
      <c r="M34" s="2">
        <v>182929</v>
      </c>
      <c r="N34" s="2" t="s">
        <v>16</v>
      </c>
      <c r="O34" s="2" t="s">
        <v>16</v>
      </c>
      <c r="P34" s="2" t="s">
        <v>16</v>
      </c>
      <c r="Q34" s="2" t="s">
        <v>16</v>
      </c>
      <c r="R34" s="2" t="s">
        <v>16</v>
      </c>
      <c r="S34" s="2" t="s">
        <v>16</v>
      </c>
      <c r="T34" s="2" t="s">
        <v>16</v>
      </c>
      <c r="U34" s="2">
        <v>14330</v>
      </c>
      <c r="V34" s="6">
        <f t="shared" si="3"/>
        <v>1.2681105073795978E-3</v>
      </c>
      <c r="W34" t="s">
        <v>149</v>
      </c>
    </row>
    <row r="35" spans="1:23" x14ac:dyDescent="0.2">
      <c r="A35" t="s">
        <v>125</v>
      </c>
      <c r="B35" t="s">
        <v>7</v>
      </c>
      <c r="C35" t="s">
        <v>126</v>
      </c>
      <c r="D35" s="2" t="s">
        <v>16</v>
      </c>
      <c r="E35" s="2" t="s">
        <v>16</v>
      </c>
      <c r="F35" s="2" t="s">
        <v>16</v>
      </c>
      <c r="G35" s="2" t="s">
        <v>16</v>
      </c>
      <c r="H35" s="2">
        <v>78319</v>
      </c>
      <c r="I35" s="2" t="s">
        <v>16</v>
      </c>
      <c r="J35" s="2" t="s">
        <v>16</v>
      </c>
      <c r="K35" s="2" t="s">
        <v>16</v>
      </c>
      <c r="L35" s="2" t="s">
        <v>16</v>
      </c>
      <c r="M35" s="2" t="s">
        <v>16</v>
      </c>
      <c r="N35" s="2" t="s">
        <v>16</v>
      </c>
      <c r="O35" s="2" t="s">
        <v>16</v>
      </c>
      <c r="P35" s="2" t="s">
        <v>16</v>
      </c>
      <c r="Q35" s="2" t="s">
        <v>16</v>
      </c>
      <c r="R35" s="2" t="s">
        <v>16</v>
      </c>
      <c r="S35" s="2" t="s">
        <v>16</v>
      </c>
      <c r="T35" s="2" t="s">
        <v>16</v>
      </c>
      <c r="U35" s="2">
        <v>34074</v>
      </c>
      <c r="V35" s="6">
        <f t="shared" si="3"/>
        <v>3.0153243146163584E-3</v>
      </c>
      <c r="W35" t="s">
        <v>149</v>
      </c>
    </row>
    <row r="36" spans="1:23" x14ac:dyDescent="0.2">
      <c r="A36" t="s">
        <v>61</v>
      </c>
      <c r="B36" t="s">
        <v>7</v>
      </c>
      <c r="C36" t="s">
        <v>62</v>
      </c>
      <c r="D36" s="2" t="s">
        <v>16</v>
      </c>
      <c r="E36" s="2" t="s">
        <v>16</v>
      </c>
      <c r="F36" s="2" t="s">
        <v>16</v>
      </c>
      <c r="G36" s="2" t="s">
        <v>16</v>
      </c>
      <c r="H36" s="2" t="s">
        <v>16</v>
      </c>
      <c r="I36" s="2" t="s">
        <v>16</v>
      </c>
      <c r="J36" s="2" t="s">
        <v>16</v>
      </c>
      <c r="K36" s="2" t="s">
        <v>16</v>
      </c>
      <c r="L36" s="2" t="s">
        <v>16</v>
      </c>
      <c r="M36" s="2" t="s">
        <v>16</v>
      </c>
      <c r="N36" s="2" t="s">
        <v>16</v>
      </c>
      <c r="O36" s="2" t="s">
        <v>16</v>
      </c>
      <c r="P36" s="2" t="s">
        <v>16</v>
      </c>
      <c r="Q36" s="2" t="s">
        <v>16</v>
      </c>
      <c r="R36" s="2" t="s">
        <v>16</v>
      </c>
      <c r="S36" s="2" t="s">
        <v>16</v>
      </c>
      <c r="T36" s="2" t="s">
        <v>16</v>
      </c>
      <c r="U36" s="2">
        <v>48502</v>
      </c>
      <c r="V36" s="6">
        <f t="shared" si="3"/>
        <v>4.2921071757798506E-3</v>
      </c>
      <c r="W36" t="s">
        <v>149</v>
      </c>
    </row>
    <row r="37" spans="1:23" x14ac:dyDescent="0.2">
      <c r="A37" t="s">
        <v>108</v>
      </c>
      <c r="B37" t="s">
        <v>7</v>
      </c>
      <c r="C37" t="s">
        <v>109</v>
      </c>
      <c r="D37" s="2">
        <v>583122</v>
      </c>
      <c r="E37" s="2">
        <v>126319</v>
      </c>
      <c r="F37" s="2">
        <v>447589</v>
      </c>
      <c r="G37" s="2">
        <v>349924</v>
      </c>
      <c r="H37" s="2" t="s">
        <v>16</v>
      </c>
      <c r="I37" s="2">
        <v>294312</v>
      </c>
      <c r="J37" s="2">
        <v>284541</v>
      </c>
      <c r="K37" s="2">
        <v>431026</v>
      </c>
      <c r="L37" s="2">
        <v>632599</v>
      </c>
      <c r="M37" s="2">
        <v>163347</v>
      </c>
      <c r="N37" s="2">
        <v>91708</v>
      </c>
      <c r="O37" s="2">
        <v>96867</v>
      </c>
      <c r="P37" s="2" t="s">
        <v>16</v>
      </c>
      <c r="Q37" s="2">
        <v>138460</v>
      </c>
      <c r="R37" s="2">
        <v>138480</v>
      </c>
      <c r="S37" s="2" t="s">
        <v>16</v>
      </c>
      <c r="T37" s="2">
        <v>90941</v>
      </c>
      <c r="U37" s="2">
        <v>82673</v>
      </c>
      <c r="V37" s="6">
        <f t="shared" si="3"/>
        <v>7.3160153507741445E-3</v>
      </c>
      <c r="W37" t="s">
        <v>149</v>
      </c>
    </row>
    <row r="38" spans="1:23" x14ac:dyDescent="0.2">
      <c r="A38" t="s">
        <v>105</v>
      </c>
      <c r="B38" t="s">
        <v>7</v>
      </c>
      <c r="C38" t="s">
        <v>106</v>
      </c>
      <c r="D38" s="2" t="s">
        <v>16</v>
      </c>
      <c r="E38" s="2" t="s">
        <v>16</v>
      </c>
      <c r="F38" s="2" t="s">
        <v>16</v>
      </c>
      <c r="G38" s="2" t="s">
        <v>16</v>
      </c>
      <c r="H38" s="2" t="s">
        <v>16</v>
      </c>
      <c r="I38" s="2" t="s">
        <v>16</v>
      </c>
      <c r="J38" s="2" t="s">
        <v>16</v>
      </c>
      <c r="K38" s="2" t="s">
        <v>16</v>
      </c>
      <c r="L38" s="2" t="s">
        <v>16</v>
      </c>
      <c r="M38" s="2" t="s">
        <v>16</v>
      </c>
      <c r="N38" s="2" t="s">
        <v>16</v>
      </c>
      <c r="O38" s="2" t="s">
        <v>16</v>
      </c>
      <c r="P38" s="2" t="s">
        <v>16</v>
      </c>
      <c r="Q38" s="2">
        <v>58064</v>
      </c>
      <c r="R38" s="2" t="s">
        <v>16</v>
      </c>
      <c r="S38" s="2" t="s">
        <v>16</v>
      </c>
      <c r="T38" s="2">
        <v>247644</v>
      </c>
      <c r="U38" s="2">
        <v>84191</v>
      </c>
      <c r="V38" s="6">
        <f t="shared" si="3"/>
        <v>7.4503483410185431E-3</v>
      </c>
      <c r="W38" t="s">
        <v>149</v>
      </c>
    </row>
    <row r="39" spans="1:23" x14ac:dyDescent="0.2">
      <c r="A39" t="s">
        <v>59</v>
      </c>
      <c r="B39" t="s">
        <v>7</v>
      </c>
      <c r="C39" t="s">
        <v>60</v>
      </c>
      <c r="D39" s="2">
        <v>912991</v>
      </c>
      <c r="E39" s="2">
        <v>560229</v>
      </c>
      <c r="F39" s="2">
        <v>390930</v>
      </c>
      <c r="G39" s="2">
        <v>235834</v>
      </c>
      <c r="H39" s="2">
        <v>79270</v>
      </c>
      <c r="I39" s="2">
        <v>626937</v>
      </c>
      <c r="J39" s="2">
        <v>1033703</v>
      </c>
      <c r="K39" s="2">
        <v>470413</v>
      </c>
      <c r="L39" s="2">
        <v>172087</v>
      </c>
      <c r="M39" s="2">
        <v>79179</v>
      </c>
      <c r="N39" s="2">
        <v>322685</v>
      </c>
      <c r="O39" s="2">
        <v>258017</v>
      </c>
      <c r="P39" s="2">
        <v>226854</v>
      </c>
      <c r="Q39" s="2">
        <v>172545</v>
      </c>
      <c r="R39" s="2" t="s">
        <v>16</v>
      </c>
      <c r="S39" s="2">
        <v>346991</v>
      </c>
      <c r="T39" s="2">
        <v>165988</v>
      </c>
      <c r="U39" s="2">
        <v>266384</v>
      </c>
      <c r="V39" s="6">
        <f t="shared" si="3"/>
        <v>2.3573227452742974E-2</v>
      </c>
      <c r="W39" t="s">
        <v>149</v>
      </c>
    </row>
    <row r="40" spans="1:23" x14ac:dyDescent="0.2">
      <c r="A40" t="s">
        <v>91</v>
      </c>
      <c r="B40" t="s">
        <v>7</v>
      </c>
      <c r="C40" t="s">
        <v>92</v>
      </c>
      <c r="D40" s="2">
        <v>492149</v>
      </c>
      <c r="E40" s="2">
        <v>139460</v>
      </c>
      <c r="F40" s="2">
        <v>322978</v>
      </c>
      <c r="G40" s="2">
        <v>79884</v>
      </c>
      <c r="H40" s="2">
        <v>813214</v>
      </c>
      <c r="I40" s="2">
        <v>496321</v>
      </c>
      <c r="J40" s="2">
        <v>1845722</v>
      </c>
      <c r="K40" s="2">
        <v>1444300</v>
      </c>
      <c r="L40" s="2">
        <v>1351700</v>
      </c>
      <c r="M40" s="2">
        <v>579069</v>
      </c>
      <c r="N40" s="2">
        <v>1417446</v>
      </c>
      <c r="O40" s="2">
        <v>1750000</v>
      </c>
      <c r="P40" s="2">
        <v>1623189</v>
      </c>
      <c r="Q40" s="2">
        <v>1415943</v>
      </c>
      <c r="R40" s="2">
        <v>1601359</v>
      </c>
      <c r="S40" s="2">
        <v>1793168</v>
      </c>
      <c r="T40" s="2">
        <v>1662771</v>
      </c>
      <c r="U40" s="2">
        <v>760931</v>
      </c>
      <c r="V40" s="6">
        <f t="shared" si="3"/>
        <v>6.7337375889104309E-2</v>
      </c>
      <c r="W40" t="s">
        <v>149</v>
      </c>
    </row>
    <row r="41" spans="1:23" x14ac:dyDescent="0.2"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7">
        <f>SUM(V33:V40)</f>
        <v>0.11425560630062431</v>
      </c>
    </row>
    <row r="42" spans="1:23" x14ac:dyDescent="0.2"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6"/>
    </row>
    <row r="43" spans="1:23" x14ac:dyDescent="0.2">
      <c r="A43" t="s">
        <v>66</v>
      </c>
      <c r="B43" t="s">
        <v>7</v>
      </c>
      <c r="C43" t="s">
        <v>67</v>
      </c>
      <c r="D43" s="2" t="s">
        <v>16</v>
      </c>
      <c r="E43" s="2" t="s">
        <v>16</v>
      </c>
      <c r="F43" s="2" t="s">
        <v>16</v>
      </c>
      <c r="G43" s="2">
        <v>247396</v>
      </c>
      <c r="H43" s="2">
        <v>239109</v>
      </c>
      <c r="I43" s="2">
        <v>77809</v>
      </c>
      <c r="J43" s="2" t="s">
        <v>16</v>
      </c>
      <c r="K43" s="2" t="s">
        <v>16</v>
      </c>
      <c r="L43" s="2" t="s">
        <v>16</v>
      </c>
      <c r="M43" s="2" t="s">
        <v>16</v>
      </c>
      <c r="N43" s="2" t="s">
        <v>16</v>
      </c>
      <c r="O43" s="2">
        <v>555491</v>
      </c>
      <c r="P43" s="2">
        <v>263286</v>
      </c>
      <c r="Q43" s="2">
        <v>912598</v>
      </c>
      <c r="R43" s="2">
        <v>2432778</v>
      </c>
      <c r="S43" s="2">
        <v>2547715</v>
      </c>
      <c r="T43" s="2">
        <v>6634701</v>
      </c>
      <c r="U43" s="2">
        <v>7940647</v>
      </c>
      <c r="V43" s="7">
        <f>U43/$U$90</f>
        <v>0.70269489854098266</v>
      </c>
      <c r="W43" t="s">
        <v>65</v>
      </c>
    </row>
    <row r="44" spans="1:23" x14ac:dyDescent="0.2"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6"/>
    </row>
    <row r="45" spans="1:23" x14ac:dyDescent="0.2"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6"/>
    </row>
    <row r="46" spans="1:23" x14ac:dyDescent="0.2">
      <c r="A46" t="s">
        <v>145</v>
      </c>
      <c r="B46" t="s">
        <v>7</v>
      </c>
      <c r="C46" t="s">
        <v>146</v>
      </c>
      <c r="D46" s="2" t="s">
        <v>16</v>
      </c>
      <c r="E46" s="2" t="s">
        <v>16</v>
      </c>
      <c r="F46" s="2" t="s">
        <v>16</v>
      </c>
      <c r="G46" s="2" t="s">
        <v>16</v>
      </c>
      <c r="H46" s="2" t="s">
        <v>16</v>
      </c>
      <c r="I46" s="2" t="s">
        <v>16</v>
      </c>
      <c r="J46" s="2" t="s">
        <v>16</v>
      </c>
      <c r="K46" s="2" t="s">
        <v>16</v>
      </c>
      <c r="L46" s="2" t="s">
        <v>16</v>
      </c>
      <c r="M46" s="2" t="s">
        <v>16</v>
      </c>
      <c r="N46" s="2" t="s">
        <v>16</v>
      </c>
      <c r="O46" s="2" t="s">
        <v>16</v>
      </c>
      <c r="P46" s="2" t="s">
        <v>16</v>
      </c>
      <c r="Q46" s="2" t="s">
        <v>16</v>
      </c>
      <c r="R46" s="2" t="s">
        <v>16</v>
      </c>
      <c r="S46" s="2" t="s">
        <v>16</v>
      </c>
      <c r="T46" s="2" t="s">
        <v>16</v>
      </c>
      <c r="U46" s="2">
        <v>14</v>
      </c>
      <c r="V46" s="6">
        <f>U46/$U$90</f>
        <v>1.2389076834134242E-6</v>
      </c>
      <c r="W46" t="s">
        <v>153</v>
      </c>
    </row>
    <row r="47" spans="1:23" x14ac:dyDescent="0.2">
      <c r="A47" t="s">
        <v>129</v>
      </c>
      <c r="B47" t="s">
        <v>7</v>
      </c>
      <c r="C47" t="s">
        <v>130</v>
      </c>
      <c r="D47" s="2" t="s">
        <v>16</v>
      </c>
      <c r="E47" s="2" t="s">
        <v>16</v>
      </c>
      <c r="F47" s="2" t="s">
        <v>16</v>
      </c>
      <c r="G47" s="2" t="s">
        <v>16</v>
      </c>
      <c r="H47" s="2">
        <v>21</v>
      </c>
      <c r="I47" s="2" t="s">
        <v>16</v>
      </c>
      <c r="J47" s="2" t="s">
        <v>16</v>
      </c>
      <c r="K47" s="2" t="s">
        <v>16</v>
      </c>
      <c r="L47" s="2" t="s">
        <v>16</v>
      </c>
      <c r="M47" s="2" t="s">
        <v>16</v>
      </c>
      <c r="N47" s="2" t="s">
        <v>16</v>
      </c>
      <c r="O47" s="2" t="s">
        <v>16</v>
      </c>
      <c r="P47" s="2" t="s">
        <v>16</v>
      </c>
      <c r="Q47" s="2" t="s">
        <v>16</v>
      </c>
      <c r="R47" s="2" t="s">
        <v>16</v>
      </c>
      <c r="S47" s="2" t="s">
        <v>16</v>
      </c>
      <c r="T47" s="2">
        <v>134467</v>
      </c>
      <c r="U47" s="2">
        <v>502099</v>
      </c>
      <c r="V47" s="6">
        <f>U47/$U$90</f>
        <v>4.4432450638156921E-2</v>
      </c>
      <c r="W47" s="5" t="s">
        <v>153</v>
      </c>
    </row>
    <row r="48" spans="1:23" x14ac:dyDescent="0.2">
      <c r="D48" s="1">
        <v>2001</v>
      </c>
      <c r="E48" s="1">
        <v>2002</v>
      </c>
      <c r="F48" s="1">
        <v>2003</v>
      </c>
      <c r="G48" s="1">
        <v>2004</v>
      </c>
      <c r="H48" s="1">
        <v>2005</v>
      </c>
      <c r="I48" s="1">
        <v>2006</v>
      </c>
      <c r="J48" s="1">
        <v>2007</v>
      </c>
      <c r="K48" s="1">
        <v>2008</v>
      </c>
      <c r="L48" s="1">
        <v>2009</v>
      </c>
      <c r="M48" s="1">
        <v>2010</v>
      </c>
      <c r="N48" s="1">
        <v>2011</v>
      </c>
      <c r="O48" s="1">
        <v>2012</v>
      </c>
      <c r="P48" s="1">
        <v>2013</v>
      </c>
      <c r="Q48" s="1">
        <v>2014</v>
      </c>
      <c r="R48" s="1">
        <v>2015</v>
      </c>
      <c r="S48" s="1">
        <v>2016</v>
      </c>
      <c r="T48" s="1">
        <v>2017</v>
      </c>
      <c r="U48" s="1"/>
      <c r="V48" s="7">
        <f>SUM(V46:V47)</f>
        <v>4.4433689545840337E-2</v>
      </c>
    </row>
    <row r="49" spans="1:26" hidden="1" x14ac:dyDescent="0.2">
      <c r="V49" s="3"/>
      <c r="Y49" t="s">
        <v>662</v>
      </c>
      <c r="Z49">
        <v>1554</v>
      </c>
    </row>
    <row r="50" spans="1:26" hidden="1" x14ac:dyDescent="0.2">
      <c r="A50" t="s">
        <v>17</v>
      </c>
      <c r="B50" t="s">
        <v>7</v>
      </c>
      <c r="C50" t="s">
        <v>18</v>
      </c>
      <c r="D50" s="2" t="s">
        <v>16</v>
      </c>
      <c r="E50" s="2" t="s">
        <v>16</v>
      </c>
      <c r="F50" s="2" t="s">
        <v>16</v>
      </c>
      <c r="G50" s="2" t="s">
        <v>16</v>
      </c>
      <c r="H50" s="2" t="s">
        <v>16</v>
      </c>
      <c r="I50" s="2" t="s">
        <v>16</v>
      </c>
      <c r="J50" s="2" t="s">
        <v>16</v>
      </c>
      <c r="K50" s="2">
        <v>141732</v>
      </c>
      <c r="L50" s="2" t="s">
        <v>16</v>
      </c>
      <c r="M50" s="2" t="s">
        <v>16</v>
      </c>
      <c r="N50" s="2" t="s">
        <v>16</v>
      </c>
      <c r="O50" s="2" t="s">
        <v>16</v>
      </c>
      <c r="P50" s="2" t="s">
        <v>16</v>
      </c>
      <c r="Q50" s="2" t="s">
        <v>16</v>
      </c>
      <c r="R50" s="2" t="s">
        <v>16</v>
      </c>
      <c r="S50" s="2" t="s">
        <v>16</v>
      </c>
      <c r="T50" s="2">
        <v>13</v>
      </c>
      <c r="U50" s="2" t="s">
        <v>16</v>
      </c>
      <c r="V50" s="3"/>
      <c r="Y50" t="s">
        <v>661</v>
      </c>
      <c r="Z50" t="s">
        <v>16</v>
      </c>
    </row>
    <row r="51" spans="1:26" hidden="1" x14ac:dyDescent="0.2">
      <c r="A51" t="s">
        <v>20</v>
      </c>
      <c r="B51" t="s">
        <v>7</v>
      </c>
      <c r="C51" t="s">
        <v>21</v>
      </c>
      <c r="D51" s="2" t="s">
        <v>16</v>
      </c>
      <c r="E51" s="2" t="s">
        <v>16</v>
      </c>
      <c r="F51" s="2" t="s">
        <v>16</v>
      </c>
      <c r="G51" s="2" t="s">
        <v>16</v>
      </c>
      <c r="H51" s="2">
        <v>2417</v>
      </c>
      <c r="I51" s="2">
        <v>39</v>
      </c>
      <c r="J51" s="2" t="s">
        <v>16</v>
      </c>
      <c r="K51" s="2" t="s">
        <v>16</v>
      </c>
      <c r="L51" s="2" t="s">
        <v>16</v>
      </c>
      <c r="M51" s="2" t="s">
        <v>16</v>
      </c>
      <c r="N51" s="2" t="s">
        <v>16</v>
      </c>
      <c r="O51" s="2" t="s">
        <v>16</v>
      </c>
      <c r="P51" s="2" t="s">
        <v>16</v>
      </c>
      <c r="Q51" s="2" t="s">
        <v>16</v>
      </c>
      <c r="R51" s="2" t="s">
        <v>16</v>
      </c>
      <c r="S51" s="2" t="s">
        <v>16</v>
      </c>
      <c r="T51" s="2">
        <v>100</v>
      </c>
      <c r="U51" s="2" t="s">
        <v>16</v>
      </c>
      <c r="V51" s="3"/>
      <c r="Y51" t="s">
        <v>660</v>
      </c>
      <c r="Z51" t="s">
        <v>16</v>
      </c>
    </row>
    <row r="52" spans="1:26" hidden="1" x14ac:dyDescent="0.2">
      <c r="A52" t="s">
        <v>22</v>
      </c>
      <c r="B52" t="s">
        <v>7</v>
      </c>
      <c r="C52" t="s">
        <v>23</v>
      </c>
      <c r="D52" s="2" t="s">
        <v>16</v>
      </c>
      <c r="E52" s="2" t="s">
        <v>16</v>
      </c>
      <c r="F52" s="2" t="s">
        <v>16</v>
      </c>
      <c r="G52" s="2" t="s">
        <v>16</v>
      </c>
      <c r="H52" s="2" t="s">
        <v>16</v>
      </c>
      <c r="I52" s="2" t="s">
        <v>16</v>
      </c>
      <c r="J52" s="2">
        <v>82689</v>
      </c>
      <c r="K52" s="2" t="s">
        <v>16</v>
      </c>
      <c r="L52" s="2" t="s">
        <v>16</v>
      </c>
      <c r="M52" s="2" t="s">
        <v>16</v>
      </c>
      <c r="N52" s="2" t="s">
        <v>16</v>
      </c>
      <c r="O52" s="2" t="s">
        <v>16</v>
      </c>
      <c r="P52" s="2" t="s">
        <v>16</v>
      </c>
      <c r="Q52" s="2" t="s">
        <v>16</v>
      </c>
      <c r="R52" s="2" t="s">
        <v>16</v>
      </c>
      <c r="S52" s="2" t="s">
        <v>16</v>
      </c>
      <c r="T52" s="2" t="s">
        <v>16</v>
      </c>
      <c r="U52" s="2" t="s">
        <v>16</v>
      </c>
      <c r="V52" s="3"/>
      <c r="Y52" t="s">
        <v>659</v>
      </c>
      <c r="Z52" t="s">
        <v>16</v>
      </c>
    </row>
    <row r="53" spans="1:26" hidden="1" x14ac:dyDescent="0.2">
      <c r="A53" t="s">
        <v>29</v>
      </c>
      <c r="B53" t="s">
        <v>7</v>
      </c>
      <c r="C53" t="s">
        <v>30</v>
      </c>
      <c r="D53" s="2" t="s">
        <v>16</v>
      </c>
      <c r="E53" s="2" t="s">
        <v>16</v>
      </c>
      <c r="F53" s="2" t="s">
        <v>16</v>
      </c>
      <c r="G53" s="2" t="s">
        <v>16</v>
      </c>
      <c r="H53" s="2" t="s">
        <v>16</v>
      </c>
      <c r="I53" s="2">
        <v>81979</v>
      </c>
      <c r="J53" s="2" t="s">
        <v>16</v>
      </c>
      <c r="K53" s="2" t="s">
        <v>16</v>
      </c>
      <c r="L53" s="2" t="s">
        <v>16</v>
      </c>
      <c r="M53" s="2" t="s">
        <v>16</v>
      </c>
      <c r="N53" s="2" t="s">
        <v>16</v>
      </c>
      <c r="O53" s="2" t="s">
        <v>16</v>
      </c>
      <c r="P53" s="2" t="s">
        <v>16</v>
      </c>
      <c r="Q53" s="2" t="s">
        <v>16</v>
      </c>
      <c r="R53" s="2" t="s">
        <v>16</v>
      </c>
      <c r="S53" s="2" t="s">
        <v>16</v>
      </c>
      <c r="T53" s="2" t="s">
        <v>16</v>
      </c>
      <c r="U53" s="2" t="s">
        <v>16</v>
      </c>
      <c r="V53" s="3"/>
      <c r="Y53" t="s">
        <v>658</v>
      </c>
      <c r="Z53">
        <v>214887</v>
      </c>
    </row>
    <row r="54" spans="1:26" hidden="1" x14ac:dyDescent="0.2">
      <c r="A54" t="s">
        <v>37</v>
      </c>
      <c r="B54" t="s">
        <v>7</v>
      </c>
      <c r="C54" t="s">
        <v>38</v>
      </c>
      <c r="D54" s="2" t="s">
        <v>16</v>
      </c>
      <c r="E54" s="2" t="s">
        <v>16</v>
      </c>
      <c r="F54" s="2" t="s">
        <v>16</v>
      </c>
      <c r="G54" s="2" t="s">
        <v>16</v>
      </c>
      <c r="H54" s="2" t="s">
        <v>16</v>
      </c>
      <c r="I54" s="2" t="s">
        <v>16</v>
      </c>
      <c r="J54" s="2" t="s">
        <v>16</v>
      </c>
      <c r="K54" s="2" t="s">
        <v>16</v>
      </c>
      <c r="L54" s="2">
        <v>78264</v>
      </c>
      <c r="M54" s="2" t="s">
        <v>16</v>
      </c>
      <c r="N54" s="2">
        <v>284583</v>
      </c>
      <c r="O54" s="2">
        <v>558722</v>
      </c>
      <c r="P54" s="2">
        <v>281431</v>
      </c>
      <c r="Q54" s="2" t="s">
        <v>16</v>
      </c>
      <c r="R54" s="2" t="s">
        <v>16</v>
      </c>
      <c r="S54" s="2">
        <v>120887</v>
      </c>
      <c r="T54" s="2">
        <v>90941</v>
      </c>
      <c r="U54" s="2" t="s">
        <v>16</v>
      </c>
      <c r="V54" s="3"/>
      <c r="Y54" t="s">
        <v>657</v>
      </c>
      <c r="Z54">
        <v>22046</v>
      </c>
    </row>
    <row r="55" spans="1:26" hidden="1" x14ac:dyDescent="0.2">
      <c r="A55" t="s">
        <v>41</v>
      </c>
      <c r="B55" t="s">
        <v>7</v>
      </c>
      <c r="C55" t="s">
        <v>42</v>
      </c>
      <c r="D55" s="2" t="s">
        <v>16</v>
      </c>
      <c r="E55" s="2" t="s">
        <v>16</v>
      </c>
      <c r="F55" s="2">
        <v>32203</v>
      </c>
      <c r="G55" s="2" t="s">
        <v>16</v>
      </c>
      <c r="H55" s="2" t="s">
        <v>16</v>
      </c>
      <c r="I55" s="2" t="s">
        <v>16</v>
      </c>
      <c r="J55" s="2" t="s">
        <v>16</v>
      </c>
      <c r="K55" s="2" t="s">
        <v>16</v>
      </c>
      <c r="L55" s="2" t="s">
        <v>16</v>
      </c>
      <c r="M55" s="2" t="s">
        <v>16</v>
      </c>
      <c r="N55" s="2" t="s">
        <v>16</v>
      </c>
      <c r="O55" s="2" t="s">
        <v>16</v>
      </c>
      <c r="P55" s="2" t="s">
        <v>16</v>
      </c>
      <c r="Q55" s="2" t="s">
        <v>16</v>
      </c>
      <c r="R55" s="2" t="s">
        <v>16</v>
      </c>
      <c r="S55" s="2" t="s">
        <v>16</v>
      </c>
      <c r="T55" s="2" t="s">
        <v>16</v>
      </c>
      <c r="U55" s="2" t="s">
        <v>16</v>
      </c>
      <c r="V55" s="3"/>
      <c r="Y55" t="s">
        <v>656</v>
      </c>
      <c r="Z55" t="s">
        <v>16</v>
      </c>
    </row>
    <row r="56" spans="1:26" hidden="1" x14ac:dyDescent="0.2">
      <c r="A56" t="s">
        <v>43</v>
      </c>
      <c r="B56" t="s">
        <v>7</v>
      </c>
      <c r="C56" t="s">
        <v>44</v>
      </c>
      <c r="D56" s="2" t="s">
        <v>16</v>
      </c>
      <c r="E56" s="2" t="s">
        <v>16</v>
      </c>
      <c r="F56" s="2" t="s">
        <v>16</v>
      </c>
      <c r="G56" s="2">
        <v>31472</v>
      </c>
      <c r="H56" s="2">
        <v>47839</v>
      </c>
      <c r="I56" s="2" t="s">
        <v>16</v>
      </c>
      <c r="J56" s="2" t="s">
        <v>16</v>
      </c>
      <c r="K56" s="2">
        <v>217309</v>
      </c>
      <c r="L56" s="2" t="s">
        <v>16</v>
      </c>
      <c r="M56" s="2" t="s">
        <v>16</v>
      </c>
      <c r="N56" s="2" t="s">
        <v>16</v>
      </c>
      <c r="O56" s="2" t="s">
        <v>16</v>
      </c>
      <c r="P56" s="2" t="s">
        <v>16</v>
      </c>
      <c r="Q56" s="2" t="s">
        <v>16</v>
      </c>
      <c r="R56" s="2" t="s">
        <v>16</v>
      </c>
      <c r="S56" s="2" t="s">
        <v>16</v>
      </c>
      <c r="T56" s="2" t="s">
        <v>16</v>
      </c>
      <c r="U56" s="2" t="s">
        <v>16</v>
      </c>
      <c r="V56" s="3"/>
      <c r="Y56" t="s">
        <v>655</v>
      </c>
      <c r="Z56" t="s">
        <v>16</v>
      </c>
    </row>
    <row r="57" spans="1:26" hidden="1" x14ac:dyDescent="0.2">
      <c r="A57" t="s">
        <v>45</v>
      </c>
      <c r="B57" t="s">
        <v>7</v>
      </c>
      <c r="C57" t="s">
        <v>46</v>
      </c>
      <c r="D57" s="2" t="s">
        <v>16</v>
      </c>
      <c r="E57" s="2" t="s">
        <v>16</v>
      </c>
      <c r="F57" s="2">
        <v>77896</v>
      </c>
      <c r="G57" s="2" t="s">
        <v>16</v>
      </c>
      <c r="H57" s="2" t="s">
        <v>16</v>
      </c>
      <c r="I57" s="2">
        <v>375404</v>
      </c>
      <c r="J57" s="2">
        <v>79841</v>
      </c>
      <c r="K57" s="2" t="s">
        <v>16</v>
      </c>
      <c r="L57" s="2" t="s">
        <v>16</v>
      </c>
      <c r="M57" s="2" t="s">
        <v>16</v>
      </c>
      <c r="N57" s="2" t="s">
        <v>16</v>
      </c>
      <c r="O57" s="2" t="s">
        <v>16</v>
      </c>
      <c r="P57" s="2" t="s">
        <v>16</v>
      </c>
      <c r="Q57" s="2" t="s">
        <v>16</v>
      </c>
      <c r="R57" s="2" t="s">
        <v>16</v>
      </c>
      <c r="S57" s="2" t="s">
        <v>16</v>
      </c>
      <c r="T57" s="2" t="s">
        <v>16</v>
      </c>
      <c r="U57" s="2" t="s">
        <v>16</v>
      </c>
      <c r="V57" s="3"/>
      <c r="Y57" t="s">
        <v>654</v>
      </c>
      <c r="Z57" t="s">
        <v>16</v>
      </c>
    </row>
    <row r="58" spans="1:26" hidden="1" x14ac:dyDescent="0.2">
      <c r="A58" t="s">
        <v>47</v>
      </c>
      <c r="B58" t="s">
        <v>7</v>
      </c>
      <c r="C58" t="s">
        <v>48</v>
      </c>
      <c r="D58" s="2" t="s">
        <v>16</v>
      </c>
      <c r="E58" s="2" t="s">
        <v>16</v>
      </c>
      <c r="F58" s="2" t="s">
        <v>16</v>
      </c>
      <c r="G58" s="2" t="s">
        <v>16</v>
      </c>
      <c r="H58" s="2" t="s">
        <v>16</v>
      </c>
      <c r="I58" s="2" t="s">
        <v>16</v>
      </c>
      <c r="J58" s="2" t="s">
        <v>16</v>
      </c>
      <c r="K58" s="2" t="s">
        <v>16</v>
      </c>
      <c r="L58" s="2" t="s">
        <v>16</v>
      </c>
      <c r="M58" s="2" t="s">
        <v>16</v>
      </c>
      <c r="N58" s="2" t="s">
        <v>16</v>
      </c>
      <c r="O58" s="2" t="s">
        <v>16</v>
      </c>
      <c r="P58" s="2">
        <v>119873</v>
      </c>
      <c r="Q58" s="2" t="s">
        <v>16</v>
      </c>
      <c r="R58" s="2" t="s">
        <v>16</v>
      </c>
      <c r="S58" s="2" t="s">
        <v>16</v>
      </c>
      <c r="T58" s="2" t="s">
        <v>16</v>
      </c>
      <c r="U58" s="2" t="s">
        <v>16</v>
      </c>
      <c r="V58" s="3"/>
      <c r="Y58" t="s">
        <v>653</v>
      </c>
      <c r="Z58">
        <v>21</v>
      </c>
    </row>
    <row r="59" spans="1:26" hidden="1" x14ac:dyDescent="0.2">
      <c r="A59" t="s">
        <v>51</v>
      </c>
      <c r="B59" t="s">
        <v>7</v>
      </c>
      <c r="C59" t="s">
        <v>52</v>
      </c>
      <c r="D59" s="2" t="s">
        <v>16</v>
      </c>
      <c r="E59" s="2" t="s">
        <v>16</v>
      </c>
      <c r="F59" s="2" t="s">
        <v>16</v>
      </c>
      <c r="G59" s="2">
        <v>18</v>
      </c>
      <c r="H59" s="2" t="s">
        <v>16</v>
      </c>
      <c r="I59" s="2">
        <v>14</v>
      </c>
      <c r="J59" s="2" t="s">
        <v>16</v>
      </c>
      <c r="K59" s="2" t="s">
        <v>16</v>
      </c>
      <c r="L59" s="2" t="s">
        <v>16</v>
      </c>
      <c r="M59" s="2">
        <v>35</v>
      </c>
      <c r="N59" s="2">
        <v>20</v>
      </c>
      <c r="O59" s="2">
        <v>282</v>
      </c>
      <c r="P59" s="2">
        <v>23</v>
      </c>
      <c r="Q59" s="2">
        <v>21</v>
      </c>
      <c r="R59" s="2" t="s">
        <v>16</v>
      </c>
      <c r="S59" s="2" t="s">
        <v>16</v>
      </c>
      <c r="T59" s="2" t="s">
        <v>16</v>
      </c>
      <c r="U59" s="2" t="s">
        <v>16</v>
      </c>
      <c r="V59" s="3"/>
      <c r="Y59" t="s">
        <v>652</v>
      </c>
      <c r="Z59" t="s">
        <v>16</v>
      </c>
    </row>
    <row r="60" spans="1:26" hidden="1" x14ac:dyDescent="0.2">
      <c r="A60" t="s">
        <v>57</v>
      </c>
      <c r="B60" t="s">
        <v>7</v>
      </c>
      <c r="C60" t="s">
        <v>58</v>
      </c>
      <c r="D60" s="2">
        <v>86048</v>
      </c>
      <c r="E60" s="2" t="s">
        <v>16</v>
      </c>
      <c r="F60" s="2" t="s">
        <v>16</v>
      </c>
      <c r="G60" s="2">
        <v>9</v>
      </c>
      <c r="H60" s="2">
        <v>7</v>
      </c>
      <c r="I60" s="2">
        <v>213955</v>
      </c>
      <c r="J60" s="2" t="s">
        <v>16</v>
      </c>
      <c r="K60" s="2">
        <v>197936</v>
      </c>
      <c r="L60" s="2" t="s">
        <v>16</v>
      </c>
      <c r="M60" s="2">
        <v>240607</v>
      </c>
      <c r="N60" s="2">
        <v>168085</v>
      </c>
      <c r="O60" s="2" t="s">
        <v>16</v>
      </c>
      <c r="P60" s="2">
        <v>9</v>
      </c>
      <c r="Q60" s="2">
        <v>9</v>
      </c>
      <c r="R60" s="2">
        <v>9</v>
      </c>
      <c r="S60" s="2" t="s">
        <v>16</v>
      </c>
      <c r="T60" s="2">
        <v>8</v>
      </c>
      <c r="U60" s="2" t="s">
        <v>16</v>
      </c>
      <c r="V60" s="3"/>
      <c r="Y60" t="s">
        <v>651</v>
      </c>
      <c r="Z60" t="s">
        <v>16</v>
      </c>
    </row>
    <row r="61" spans="1:26" hidden="1" x14ac:dyDescent="0.2">
      <c r="A61" t="s">
        <v>63</v>
      </c>
      <c r="B61" t="s">
        <v>7</v>
      </c>
      <c r="C61" t="s">
        <v>64</v>
      </c>
      <c r="D61" s="2" t="s">
        <v>16</v>
      </c>
      <c r="E61" s="2" t="s">
        <v>16</v>
      </c>
      <c r="F61" s="2" t="s">
        <v>16</v>
      </c>
      <c r="G61" s="2" t="s">
        <v>16</v>
      </c>
      <c r="H61" s="2">
        <v>17</v>
      </c>
      <c r="I61" s="2" t="s">
        <v>16</v>
      </c>
      <c r="J61" s="2" t="s">
        <v>16</v>
      </c>
      <c r="K61" s="2" t="s">
        <v>16</v>
      </c>
      <c r="L61" s="2" t="s">
        <v>16</v>
      </c>
      <c r="M61" s="2" t="s">
        <v>16</v>
      </c>
      <c r="N61" s="2" t="s">
        <v>16</v>
      </c>
      <c r="O61" s="2" t="s">
        <v>16</v>
      </c>
      <c r="P61" s="2" t="s">
        <v>16</v>
      </c>
      <c r="Q61" s="2" t="s">
        <v>16</v>
      </c>
      <c r="R61" s="2" t="s">
        <v>16</v>
      </c>
      <c r="S61" s="2" t="s">
        <v>16</v>
      </c>
      <c r="T61" s="2" t="s">
        <v>16</v>
      </c>
      <c r="U61" s="2" t="s">
        <v>16</v>
      </c>
      <c r="V61" s="3"/>
      <c r="Y61" t="s">
        <v>650</v>
      </c>
      <c r="Z61" t="s">
        <v>16</v>
      </c>
    </row>
    <row r="62" spans="1:26" hidden="1" x14ac:dyDescent="0.2">
      <c r="A62" t="s">
        <v>68</v>
      </c>
      <c r="B62" t="s">
        <v>7</v>
      </c>
      <c r="C62" t="s">
        <v>69</v>
      </c>
      <c r="D62" s="2">
        <v>366163</v>
      </c>
      <c r="E62" s="2">
        <v>669728</v>
      </c>
      <c r="F62" s="2">
        <v>238216</v>
      </c>
      <c r="G62" s="2" t="s">
        <v>16</v>
      </c>
      <c r="H62" s="2" t="s">
        <v>16</v>
      </c>
      <c r="I62" s="2" t="s">
        <v>16</v>
      </c>
      <c r="J62" s="2">
        <v>80992</v>
      </c>
      <c r="K62" s="2">
        <v>81623</v>
      </c>
      <c r="L62" s="2" t="s">
        <v>16</v>
      </c>
      <c r="M62" s="2" t="s">
        <v>16</v>
      </c>
      <c r="N62" s="2" t="s">
        <v>16</v>
      </c>
      <c r="O62" s="2" t="s">
        <v>16</v>
      </c>
      <c r="P62" s="2" t="s">
        <v>16</v>
      </c>
      <c r="Q62" s="2" t="s">
        <v>16</v>
      </c>
      <c r="R62" s="2" t="s">
        <v>16</v>
      </c>
      <c r="S62" s="2" t="s">
        <v>16</v>
      </c>
      <c r="T62" s="2" t="s">
        <v>16</v>
      </c>
      <c r="U62" s="2" t="s">
        <v>16</v>
      </c>
      <c r="V62" s="3"/>
      <c r="Y62" t="s">
        <v>649</v>
      </c>
      <c r="Z62">
        <v>88185</v>
      </c>
    </row>
    <row r="63" spans="1:26" hidden="1" x14ac:dyDescent="0.2">
      <c r="A63" t="s">
        <v>71</v>
      </c>
      <c r="B63" t="s">
        <v>7</v>
      </c>
      <c r="C63" t="s">
        <v>72</v>
      </c>
      <c r="D63" s="2" t="s">
        <v>16</v>
      </c>
      <c r="E63" s="2">
        <v>130693</v>
      </c>
      <c r="F63" s="2" t="s">
        <v>16</v>
      </c>
      <c r="G63" s="2" t="s">
        <v>16</v>
      </c>
      <c r="H63" s="2" t="s">
        <v>16</v>
      </c>
      <c r="I63" s="2" t="s">
        <v>16</v>
      </c>
      <c r="J63" s="2" t="s">
        <v>16</v>
      </c>
      <c r="K63" s="2" t="s">
        <v>16</v>
      </c>
      <c r="L63" s="2" t="s">
        <v>16</v>
      </c>
      <c r="M63" s="2" t="s">
        <v>16</v>
      </c>
      <c r="N63" s="2" t="s">
        <v>16</v>
      </c>
      <c r="O63" s="2" t="s">
        <v>16</v>
      </c>
      <c r="P63" s="2" t="s">
        <v>16</v>
      </c>
      <c r="Q63" s="2" t="s">
        <v>16</v>
      </c>
      <c r="R63" s="2" t="s">
        <v>16</v>
      </c>
      <c r="S63" s="2" t="s">
        <v>16</v>
      </c>
      <c r="T63" s="2" t="s">
        <v>16</v>
      </c>
      <c r="U63" s="2" t="s">
        <v>16</v>
      </c>
      <c r="V63" s="3"/>
      <c r="Y63" t="s">
        <v>648</v>
      </c>
      <c r="Z63" t="s">
        <v>16</v>
      </c>
    </row>
    <row r="64" spans="1:26" hidden="1" x14ac:dyDescent="0.2">
      <c r="A64" t="s">
        <v>73</v>
      </c>
      <c r="B64" t="s">
        <v>7</v>
      </c>
      <c r="C64" t="s">
        <v>74</v>
      </c>
      <c r="D64" s="2">
        <v>72718</v>
      </c>
      <c r="E64" s="2" t="s">
        <v>16</v>
      </c>
      <c r="F64" s="2" t="s">
        <v>16</v>
      </c>
      <c r="G64" s="2" t="s">
        <v>16</v>
      </c>
      <c r="H64" s="2" t="s">
        <v>16</v>
      </c>
      <c r="I64" s="2" t="s">
        <v>16</v>
      </c>
      <c r="J64" s="2" t="s">
        <v>16</v>
      </c>
      <c r="K64" s="2">
        <v>48587</v>
      </c>
      <c r="L64" s="2">
        <v>75249</v>
      </c>
      <c r="M64" s="2">
        <v>68210</v>
      </c>
      <c r="N64" s="2" t="s">
        <v>16</v>
      </c>
      <c r="O64" s="2" t="s">
        <v>16</v>
      </c>
      <c r="P64" s="2" t="s">
        <v>16</v>
      </c>
      <c r="Q64" s="2" t="s">
        <v>16</v>
      </c>
      <c r="R64" s="2" t="s">
        <v>16</v>
      </c>
      <c r="S64" s="2" t="s">
        <v>16</v>
      </c>
      <c r="T64" s="2" t="s">
        <v>16</v>
      </c>
      <c r="U64" s="2" t="s">
        <v>16</v>
      </c>
      <c r="V64" s="3"/>
      <c r="Y64" t="s">
        <v>647</v>
      </c>
      <c r="Z64" t="s">
        <v>16</v>
      </c>
    </row>
    <row r="65" spans="1:26" hidden="1" x14ac:dyDescent="0.2">
      <c r="A65" t="s">
        <v>75</v>
      </c>
      <c r="B65" t="s">
        <v>7</v>
      </c>
      <c r="C65" t="s">
        <v>76</v>
      </c>
      <c r="D65" s="2" t="s">
        <v>16</v>
      </c>
      <c r="E65" s="2">
        <v>20956</v>
      </c>
      <c r="F65" s="2" t="s">
        <v>16</v>
      </c>
      <c r="G65" s="2">
        <v>22412</v>
      </c>
      <c r="H65" s="2">
        <v>74495</v>
      </c>
      <c r="I65" s="2" t="s">
        <v>16</v>
      </c>
      <c r="J65" s="2">
        <v>30251</v>
      </c>
      <c r="K65" s="2">
        <v>24251</v>
      </c>
      <c r="L65" s="2">
        <v>36373</v>
      </c>
      <c r="M65" s="2" t="s">
        <v>16</v>
      </c>
      <c r="N65" s="2" t="s">
        <v>16</v>
      </c>
      <c r="O65" s="2" t="s">
        <v>16</v>
      </c>
      <c r="P65" s="2" t="s">
        <v>16</v>
      </c>
      <c r="Q65" s="2" t="s">
        <v>16</v>
      </c>
      <c r="R65" s="2" t="s">
        <v>16</v>
      </c>
      <c r="S65" s="2">
        <v>36434</v>
      </c>
      <c r="T65" s="2" t="s">
        <v>16</v>
      </c>
      <c r="U65" s="2" t="s">
        <v>16</v>
      </c>
      <c r="V65" s="3"/>
      <c r="Y65" t="s">
        <v>646</v>
      </c>
      <c r="Z65" t="s">
        <v>16</v>
      </c>
    </row>
    <row r="66" spans="1:26" hidden="1" x14ac:dyDescent="0.2">
      <c r="A66" t="s">
        <v>78</v>
      </c>
      <c r="B66" t="s">
        <v>7</v>
      </c>
      <c r="C66" t="s">
        <v>79</v>
      </c>
      <c r="D66" s="2" t="s">
        <v>16</v>
      </c>
      <c r="E66" s="2" t="s">
        <v>16</v>
      </c>
      <c r="F66" s="2" t="s">
        <v>16</v>
      </c>
      <c r="G66" s="2">
        <v>1162940</v>
      </c>
      <c r="H66" s="2">
        <v>257514</v>
      </c>
      <c r="I66" s="2" t="s">
        <v>16</v>
      </c>
      <c r="J66" s="2" t="s">
        <v>16</v>
      </c>
      <c r="K66" s="2">
        <v>18389</v>
      </c>
      <c r="L66" s="2">
        <v>132304</v>
      </c>
      <c r="M66" s="2" t="s">
        <v>16</v>
      </c>
      <c r="N66" s="2">
        <v>16503</v>
      </c>
      <c r="O66" s="2" t="s">
        <v>16</v>
      </c>
      <c r="P66" s="2" t="s">
        <v>16</v>
      </c>
      <c r="Q66" s="2">
        <v>42892</v>
      </c>
      <c r="R66" s="2">
        <v>72</v>
      </c>
      <c r="S66" s="2" t="s">
        <v>16</v>
      </c>
      <c r="T66" s="2" t="s">
        <v>16</v>
      </c>
      <c r="U66" s="2" t="s">
        <v>16</v>
      </c>
      <c r="V66" s="3"/>
    </row>
    <row r="67" spans="1:26" hidden="1" x14ac:dyDescent="0.2">
      <c r="A67" t="s">
        <v>80</v>
      </c>
      <c r="B67" t="s">
        <v>7</v>
      </c>
      <c r="C67" t="s">
        <v>81</v>
      </c>
      <c r="D67" s="2" t="s">
        <v>16</v>
      </c>
      <c r="E67" s="2" t="s">
        <v>16</v>
      </c>
      <c r="F67" s="2" t="s">
        <v>16</v>
      </c>
      <c r="G67" s="2" t="s">
        <v>16</v>
      </c>
      <c r="H67" s="2" t="s">
        <v>16</v>
      </c>
      <c r="I67" s="2" t="s">
        <v>16</v>
      </c>
      <c r="J67" s="2" t="s">
        <v>16</v>
      </c>
      <c r="K67" s="2" t="s">
        <v>16</v>
      </c>
      <c r="L67" s="2" t="s">
        <v>16</v>
      </c>
      <c r="M67" s="2">
        <v>443</v>
      </c>
      <c r="N67" s="2" t="s">
        <v>16</v>
      </c>
      <c r="O67" s="2" t="s">
        <v>16</v>
      </c>
      <c r="P67" s="2" t="s">
        <v>16</v>
      </c>
      <c r="Q67" s="2" t="s">
        <v>16</v>
      </c>
      <c r="R67" s="2" t="s">
        <v>16</v>
      </c>
      <c r="S67" s="2" t="s">
        <v>16</v>
      </c>
      <c r="T67" s="2" t="s">
        <v>16</v>
      </c>
      <c r="U67" s="2" t="s">
        <v>16</v>
      </c>
      <c r="V67" s="3"/>
    </row>
    <row r="68" spans="1:26" hidden="1" x14ac:dyDescent="0.2">
      <c r="A68" t="s">
        <v>82</v>
      </c>
      <c r="B68" t="s">
        <v>7</v>
      </c>
      <c r="C68" t="s">
        <v>83</v>
      </c>
      <c r="D68" s="2" t="s">
        <v>16</v>
      </c>
      <c r="E68" s="2" t="s">
        <v>16</v>
      </c>
      <c r="F68" s="2" t="s">
        <v>16</v>
      </c>
      <c r="G68" s="2" t="s">
        <v>16</v>
      </c>
      <c r="H68" s="2" t="s">
        <v>16</v>
      </c>
      <c r="I68" s="2" t="s">
        <v>16</v>
      </c>
      <c r="J68" s="2" t="s">
        <v>16</v>
      </c>
      <c r="K68" s="2" t="s">
        <v>16</v>
      </c>
      <c r="L68" s="2" t="s">
        <v>16</v>
      </c>
      <c r="M68" s="2" t="s">
        <v>16</v>
      </c>
      <c r="N68" s="2" t="s">
        <v>16</v>
      </c>
      <c r="O68" s="2" t="s">
        <v>16</v>
      </c>
      <c r="P68" s="2" t="s">
        <v>16</v>
      </c>
      <c r="Q68" s="2" t="s">
        <v>16</v>
      </c>
      <c r="R68" s="2" t="s">
        <v>16</v>
      </c>
      <c r="S68" s="2" t="s">
        <v>16</v>
      </c>
      <c r="T68" s="2" t="s">
        <v>16</v>
      </c>
      <c r="U68" s="2" t="s">
        <v>16</v>
      </c>
      <c r="V68" s="3"/>
    </row>
    <row r="69" spans="1:26" hidden="1" x14ac:dyDescent="0.2">
      <c r="A69" t="s">
        <v>84</v>
      </c>
      <c r="B69" t="s">
        <v>7</v>
      </c>
      <c r="C69" t="s">
        <v>85</v>
      </c>
      <c r="D69" s="2" t="s">
        <v>16</v>
      </c>
      <c r="E69" s="2" t="s">
        <v>16</v>
      </c>
      <c r="F69" s="2" t="s">
        <v>16</v>
      </c>
      <c r="G69" s="2" t="s">
        <v>16</v>
      </c>
      <c r="H69" s="2" t="s">
        <v>16</v>
      </c>
      <c r="I69" s="2" t="s">
        <v>16</v>
      </c>
      <c r="J69" s="2" t="s">
        <v>16</v>
      </c>
      <c r="K69" s="2" t="s">
        <v>16</v>
      </c>
      <c r="L69" s="2" t="s">
        <v>16</v>
      </c>
      <c r="M69" s="2" t="s">
        <v>16</v>
      </c>
      <c r="N69" s="2" t="s">
        <v>16</v>
      </c>
      <c r="O69" s="2">
        <v>36373</v>
      </c>
      <c r="P69" s="2" t="s">
        <v>16</v>
      </c>
      <c r="Q69" s="2" t="s">
        <v>16</v>
      </c>
      <c r="R69" s="2" t="s">
        <v>16</v>
      </c>
      <c r="S69" s="2" t="s">
        <v>16</v>
      </c>
      <c r="T69" s="2" t="s">
        <v>16</v>
      </c>
      <c r="U69" s="2" t="s">
        <v>16</v>
      </c>
      <c r="V69" s="3"/>
    </row>
    <row r="70" spans="1:26" hidden="1" x14ac:dyDescent="0.2">
      <c r="A70" t="s">
        <v>87</v>
      </c>
      <c r="B70" t="s">
        <v>7</v>
      </c>
      <c r="C70" t="s">
        <v>88</v>
      </c>
      <c r="D70" s="2" t="s">
        <v>16</v>
      </c>
      <c r="E70" s="2" t="s">
        <v>16</v>
      </c>
      <c r="F70" s="2" t="s">
        <v>16</v>
      </c>
      <c r="G70" s="2">
        <v>55533</v>
      </c>
      <c r="H70" s="2">
        <v>305102</v>
      </c>
      <c r="I70" s="2">
        <v>123082</v>
      </c>
      <c r="J70" s="2" t="s">
        <v>16</v>
      </c>
      <c r="K70" s="2">
        <v>61053</v>
      </c>
      <c r="L70" s="2" t="s">
        <v>16</v>
      </c>
      <c r="M70" s="2" t="s">
        <v>16</v>
      </c>
      <c r="N70" s="2" t="s">
        <v>16</v>
      </c>
      <c r="O70" s="2" t="s">
        <v>16</v>
      </c>
      <c r="P70" s="2" t="s">
        <v>16</v>
      </c>
      <c r="Q70" s="2" t="s">
        <v>16</v>
      </c>
      <c r="R70" s="2" t="s">
        <v>16</v>
      </c>
      <c r="S70" s="2" t="s">
        <v>16</v>
      </c>
      <c r="T70" s="2" t="s">
        <v>16</v>
      </c>
      <c r="U70" s="2" t="s">
        <v>16</v>
      </c>
      <c r="V70" s="3"/>
    </row>
    <row r="71" spans="1:26" hidden="1" x14ac:dyDescent="0.2">
      <c r="A71" t="s">
        <v>95</v>
      </c>
      <c r="B71" t="s">
        <v>7</v>
      </c>
      <c r="C71" t="s">
        <v>96</v>
      </c>
      <c r="D71" s="2">
        <v>11733</v>
      </c>
      <c r="E71" s="2">
        <v>12116</v>
      </c>
      <c r="F71" s="2" t="s">
        <v>16</v>
      </c>
      <c r="G71" s="2" t="s">
        <v>16</v>
      </c>
      <c r="H71" s="2" t="s">
        <v>16</v>
      </c>
      <c r="I71" s="2" t="s">
        <v>16</v>
      </c>
      <c r="J71" s="2" t="s">
        <v>16</v>
      </c>
      <c r="K71" s="2" t="s">
        <v>16</v>
      </c>
      <c r="L71" s="2" t="s">
        <v>16</v>
      </c>
      <c r="M71" s="2" t="s">
        <v>16</v>
      </c>
      <c r="N71" s="2" t="s">
        <v>16</v>
      </c>
      <c r="O71" s="2" t="s">
        <v>16</v>
      </c>
      <c r="P71" s="2" t="s">
        <v>16</v>
      </c>
      <c r="Q71" s="2" t="s">
        <v>16</v>
      </c>
      <c r="R71" s="2" t="s">
        <v>16</v>
      </c>
      <c r="S71" s="2" t="s">
        <v>16</v>
      </c>
      <c r="T71" s="2" t="s">
        <v>16</v>
      </c>
      <c r="U71" s="2" t="s">
        <v>16</v>
      </c>
      <c r="V71" s="3"/>
    </row>
    <row r="72" spans="1:26" hidden="1" x14ac:dyDescent="0.2">
      <c r="A72" t="s">
        <v>97</v>
      </c>
      <c r="B72" t="s">
        <v>7</v>
      </c>
      <c r="C72" t="s">
        <v>98</v>
      </c>
      <c r="D72" s="2" t="s">
        <v>16</v>
      </c>
      <c r="E72" s="2" t="s">
        <v>16</v>
      </c>
      <c r="F72" s="2">
        <v>22</v>
      </c>
      <c r="G72" s="2" t="s">
        <v>16</v>
      </c>
      <c r="H72" s="2" t="s">
        <v>16</v>
      </c>
      <c r="I72" s="2" t="s">
        <v>16</v>
      </c>
      <c r="J72" s="2" t="s">
        <v>16</v>
      </c>
      <c r="K72" s="2" t="s">
        <v>16</v>
      </c>
      <c r="L72" s="2" t="s">
        <v>16</v>
      </c>
      <c r="M72" s="2" t="s">
        <v>16</v>
      </c>
      <c r="N72" s="2" t="s">
        <v>16</v>
      </c>
      <c r="O72" s="2" t="s">
        <v>16</v>
      </c>
      <c r="P72" s="2" t="s">
        <v>16</v>
      </c>
      <c r="Q72" s="2" t="s">
        <v>16</v>
      </c>
      <c r="R72" s="2" t="s">
        <v>16</v>
      </c>
      <c r="S72" s="2" t="s">
        <v>16</v>
      </c>
      <c r="T72" s="2" t="s">
        <v>16</v>
      </c>
      <c r="U72" s="2" t="s">
        <v>16</v>
      </c>
      <c r="V72" s="3"/>
    </row>
    <row r="73" spans="1:26" hidden="1" x14ac:dyDescent="0.2">
      <c r="A73" t="s">
        <v>99</v>
      </c>
      <c r="B73" t="s">
        <v>7</v>
      </c>
      <c r="C73" t="s">
        <v>100</v>
      </c>
      <c r="D73" s="2" t="s">
        <v>16</v>
      </c>
      <c r="E73" s="2" t="s">
        <v>16</v>
      </c>
      <c r="F73" s="2">
        <v>22</v>
      </c>
      <c r="G73" s="2" t="s">
        <v>16</v>
      </c>
      <c r="H73" s="2">
        <v>28</v>
      </c>
      <c r="I73" s="2" t="s">
        <v>16</v>
      </c>
      <c r="J73" s="2" t="s">
        <v>16</v>
      </c>
      <c r="K73" s="2">
        <v>379</v>
      </c>
      <c r="L73" s="2" t="s">
        <v>16</v>
      </c>
      <c r="M73" s="2" t="s">
        <v>16</v>
      </c>
      <c r="N73" s="2" t="s">
        <v>16</v>
      </c>
      <c r="O73" s="2" t="s">
        <v>16</v>
      </c>
      <c r="P73" s="2" t="s">
        <v>16</v>
      </c>
      <c r="Q73" s="2" t="s">
        <v>16</v>
      </c>
      <c r="R73" s="2" t="s">
        <v>16</v>
      </c>
      <c r="S73" s="2" t="s">
        <v>16</v>
      </c>
      <c r="T73" s="2" t="s">
        <v>16</v>
      </c>
      <c r="U73" s="2" t="s">
        <v>16</v>
      </c>
      <c r="V73" s="3"/>
    </row>
    <row r="74" spans="1:26" hidden="1" x14ac:dyDescent="0.2">
      <c r="A74" t="s">
        <v>101</v>
      </c>
      <c r="B74" t="s">
        <v>7</v>
      </c>
      <c r="C74" t="s">
        <v>102</v>
      </c>
      <c r="D74" s="2">
        <v>48</v>
      </c>
      <c r="E74" s="2" t="s">
        <v>16</v>
      </c>
      <c r="F74" s="2">
        <v>15312</v>
      </c>
      <c r="G74" s="2">
        <v>53</v>
      </c>
      <c r="H74" s="2" t="s">
        <v>16</v>
      </c>
      <c r="I74" s="2" t="s">
        <v>16</v>
      </c>
      <c r="J74" s="2" t="s">
        <v>16</v>
      </c>
      <c r="K74" s="2" t="s">
        <v>16</v>
      </c>
      <c r="L74" s="2">
        <v>87</v>
      </c>
      <c r="M74" s="2" t="s">
        <v>16</v>
      </c>
      <c r="N74" s="2" t="s">
        <v>16</v>
      </c>
      <c r="O74" s="2" t="s">
        <v>16</v>
      </c>
      <c r="P74" s="2" t="s">
        <v>16</v>
      </c>
      <c r="Q74" s="2" t="s">
        <v>16</v>
      </c>
      <c r="R74" s="2" t="s">
        <v>16</v>
      </c>
      <c r="S74" s="2" t="s">
        <v>16</v>
      </c>
      <c r="T74" s="2" t="s">
        <v>16</v>
      </c>
      <c r="U74" s="2" t="s">
        <v>16</v>
      </c>
      <c r="V74" s="3"/>
    </row>
    <row r="75" spans="1:26" hidden="1" x14ac:dyDescent="0.2">
      <c r="A75" t="s">
        <v>103</v>
      </c>
      <c r="B75" t="s">
        <v>7</v>
      </c>
      <c r="C75" t="s">
        <v>104</v>
      </c>
      <c r="D75" s="2">
        <v>12514</v>
      </c>
      <c r="E75" s="2">
        <v>6375</v>
      </c>
      <c r="F75" s="2">
        <v>9025</v>
      </c>
      <c r="G75" s="2">
        <v>9109</v>
      </c>
      <c r="H75" s="2">
        <v>6907</v>
      </c>
      <c r="I75" s="2">
        <v>6830</v>
      </c>
      <c r="J75" s="2">
        <v>6785</v>
      </c>
      <c r="K75" s="2">
        <v>6853</v>
      </c>
      <c r="L75" s="2" t="s">
        <v>16</v>
      </c>
      <c r="M75" s="2">
        <v>17</v>
      </c>
      <c r="N75" s="2">
        <v>17</v>
      </c>
      <c r="O75" s="2" t="s">
        <v>16</v>
      </c>
      <c r="P75" s="2" t="s">
        <v>16</v>
      </c>
      <c r="Q75" s="2">
        <v>60</v>
      </c>
      <c r="R75" s="2">
        <v>20</v>
      </c>
      <c r="S75" s="2">
        <v>107</v>
      </c>
      <c r="T75" s="2" t="s">
        <v>16</v>
      </c>
      <c r="U75" s="2" t="s">
        <v>16</v>
      </c>
      <c r="V75" s="3"/>
    </row>
    <row r="76" spans="1:26" hidden="1" x14ac:dyDescent="0.2">
      <c r="A76" t="s">
        <v>110</v>
      </c>
      <c r="B76" t="s">
        <v>7</v>
      </c>
      <c r="C76" t="s">
        <v>111</v>
      </c>
      <c r="D76" s="2" t="s">
        <v>16</v>
      </c>
      <c r="E76" s="2" t="s">
        <v>16</v>
      </c>
      <c r="F76" s="2" t="s">
        <v>16</v>
      </c>
      <c r="G76" s="2">
        <v>148775</v>
      </c>
      <c r="H76" s="2">
        <v>930667</v>
      </c>
      <c r="I76" s="2">
        <v>1021661</v>
      </c>
      <c r="J76" s="2">
        <v>1178115</v>
      </c>
      <c r="K76" s="2" t="s">
        <v>16</v>
      </c>
      <c r="L76" s="2" t="s">
        <v>16</v>
      </c>
      <c r="M76" s="2" t="s">
        <v>16</v>
      </c>
      <c r="N76" s="2" t="s">
        <v>16</v>
      </c>
      <c r="O76" s="2" t="s">
        <v>16</v>
      </c>
      <c r="P76" s="2" t="s">
        <v>16</v>
      </c>
      <c r="Q76" s="2" t="s">
        <v>16</v>
      </c>
      <c r="R76" s="2" t="s">
        <v>16</v>
      </c>
      <c r="S76" s="2" t="s">
        <v>16</v>
      </c>
      <c r="T76" s="2" t="s">
        <v>16</v>
      </c>
      <c r="U76" s="2" t="s">
        <v>16</v>
      </c>
      <c r="V76" s="3"/>
    </row>
    <row r="77" spans="1:26" hidden="1" x14ac:dyDescent="0.2">
      <c r="A77" t="s">
        <v>112</v>
      </c>
      <c r="B77" t="s">
        <v>7</v>
      </c>
      <c r="C77" t="s">
        <v>113</v>
      </c>
      <c r="D77" s="2" t="s">
        <v>16</v>
      </c>
      <c r="E77" s="2" t="s">
        <v>16</v>
      </c>
      <c r="F77" s="2">
        <v>78</v>
      </c>
      <c r="G77" s="2">
        <v>94</v>
      </c>
      <c r="H77" s="2" t="s">
        <v>16</v>
      </c>
      <c r="I77" s="2">
        <v>35</v>
      </c>
      <c r="J77" s="2" t="s">
        <v>16</v>
      </c>
      <c r="K77" s="2" t="s">
        <v>16</v>
      </c>
      <c r="L77" s="2" t="s">
        <v>16</v>
      </c>
      <c r="M77" s="2" t="s">
        <v>16</v>
      </c>
      <c r="N77" s="2" t="s">
        <v>16</v>
      </c>
      <c r="O77" s="2">
        <v>3376</v>
      </c>
      <c r="P77" s="2" t="s">
        <v>16</v>
      </c>
      <c r="Q77" s="2" t="s">
        <v>16</v>
      </c>
      <c r="R77" s="2" t="s">
        <v>16</v>
      </c>
      <c r="S77" s="2" t="s">
        <v>16</v>
      </c>
      <c r="T77" s="2" t="s">
        <v>16</v>
      </c>
      <c r="U77" s="2" t="s">
        <v>16</v>
      </c>
      <c r="V77" s="3"/>
    </row>
    <row r="78" spans="1:26" hidden="1" x14ac:dyDescent="0.2">
      <c r="A78" t="s">
        <v>114</v>
      </c>
      <c r="B78" t="s">
        <v>7</v>
      </c>
      <c r="C78" t="s">
        <v>115</v>
      </c>
      <c r="D78" s="2" t="s">
        <v>16</v>
      </c>
      <c r="E78" s="2" t="s">
        <v>16</v>
      </c>
      <c r="F78" s="2" t="s">
        <v>16</v>
      </c>
      <c r="G78" s="2" t="s">
        <v>16</v>
      </c>
      <c r="H78" s="2" t="s">
        <v>16</v>
      </c>
      <c r="I78" s="2" t="s">
        <v>16</v>
      </c>
      <c r="J78" s="2" t="s">
        <v>16</v>
      </c>
      <c r="K78" s="2" t="s">
        <v>16</v>
      </c>
      <c r="L78" s="2" t="s">
        <v>16</v>
      </c>
      <c r="M78" s="2" t="s">
        <v>16</v>
      </c>
      <c r="N78" s="2" t="s">
        <v>16</v>
      </c>
      <c r="O78" s="2" t="s">
        <v>16</v>
      </c>
      <c r="P78" s="2">
        <v>109020</v>
      </c>
      <c r="Q78" s="2" t="s">
        <v>16</v>
      </c>
      <c r="R78" s="2">
        <v>127400</v>
      </c>
      <c r="S78" s="2" t="s">
        <v>16</v>
      </c>
      <c r="T78" s="2" t="s">
        <v>16</v>
      </c>
      <c r="U78" s="2" t="s">
        <v>16</v>
      </c>
      <c r="V78" s="3"/>
    </row>
    <row r="79" spans="1:26" hidden="1" x14ac:dyDescent="0.2">
      <c r="A79" t="s">
        <v>116</v>
      </c>
      <c r="B79" t="s">
        <v>7</v>
      </c>
      <c r="C79" t="s">
        <v>117</v>
      </c>
      <c r="D79" s="2" t="s">
        <v>16</v>
      </c>
      <c r="E79" s="2" t="s">
        <v>16</v>
      </c>
      <c r="F79" s="2" t="s">
        <v>16</v>
      </c>
      <c r="G79" s="2" t="s">
        <v>16</v>
      </c>
      <c r="H79" s="2" t="s">
        <v>16</v>
      </c>
      <c r="I79" s="2" t="s">
        <v>16</v>
      </c>
      <c r="J79" s="2" t="s">
        <v>16</v>
      </c>
      <c r="K79" s="2" t="s">
        <v>16</v>
      </c>
      <c r="L79" s="2" t="s">
        <v>16</v>
      </c>
      <c r="M79" s="2">
        <v>81861</v>
      </c>
      <c r="N79" s="2" t="s">
        <v>16</v>
      </c>
      <c r="O79" s="2" t="s">
        <v>16</v>
      </c>
      <c r="P79" s="2" t="s">
        <v>16</v>
      </c>
      <c r="Q79" s="2" t="s">
        <v>16</v>
      </c>
      <c r="R79" s="2" t="s">
        <v>16</v>
      </c>
      <c r="S79" s="2" t="s">
        <v>16</v>
      </c>
      <c r="T79" s="2" t="s">
        <v>16</v>
      </c>
      <c r="U79" s="2" t="s">
        <v>16</v>
      </c>
      <c r="V79" s="3"/>
    </row>
    <row r="80" spans="1:26" hidden="1" x14ac:dyDescent="0.2">
      <c r="A80" t="s">
        <v>120</v>
      </c>
      <c r="B80" t="s">
        <v>7</v>
      </c>
      <c r="C80" t="s">
        <v>121</v>
      </c>
      <c r="D80" s="2" t="s">
        <v>16</v>
      </c>
      <c r="E80" s="2" t="s">
        <v>16</v>
      </c>
      <c r="F80" s="2" t="s">
        <v>16</v>
      </c>
      <c r="G80" s="2">
        <v>255758</v>
      </c>
      <c r="H80" s="2">
        <v>314728</v>
      </c>
      <c r="I80" s="2">
        <v>81161</v>
      </c>
      <c r="J80" s="2" t="s">
        <v>16</v>
      </c>
      <c r="K80" s="2" t="s">
        <v>16</v>
      </c>
      <c r="L80" s="2" t="s">
        <v>16</v>
      </c>
      <c r="M80" s="2" t="s">
        <v>16</v>
      </c>
      <c r="N80" s="2">
        <v>583161</v>
      </c>
      <c r="O80" s="2">
        <v>142469</v>
      </c>
      <c r="P80" s="2">
        <v>749418</v>
      </c>
      <c r="Q80" s="2">
        <v>416700</v>
      </c>
      <c r="R80" s="2" t="s">
        <v>16</v>
      </c>
      <c r="S80" s="2">
        <v>24222</v>
      </c>
      <c r="T80" s="2">
        <v>60352</v>
      </c>
      <c r="U80" s="2" t="s">
        <v>16</v>
      </c>
      <c r="V80" s="3"/>
    </row>
    <row r="81" spans="1:22" hidden="1" x14ac:dyDescent="0.2">
      <c r="A81" t="s">
        <v>122</v>
      </c>
      <c r="B81" t="s">
        <v>7</v>
      </c>
      <c r="C81" t="s">
        <v>123</v>
      </c>
      <c r="D81" s="2" t="s">
        <v>16</v>
      </c>
      <c r="E81" s="2">
        <v>77591</v>
      </c>
      <c r="F81" s="2" t="s">
        <v>16</v>
      </c>
      <c r="G81" s="2" t="s">
        <v>16</v>
      </c>
      <c r="H81" s="2" t="s">
        <v>16</v>
      </c>
      <c r="I81" s="2" t="s">
        <v>16</v>
      </c>
      <c r="J81" s="2">
        <v>44</v>
      </c>
      <c r="K81" s="2">
        <v>161101</v>
      </c>
      <c r="L81" s="2" t="s">
        <v>16</v>
      </c>
      <c r="M81" s="2" t="s">
        <v>16</v>
      </c>
      <c r="N81" s="2" t="s">
        <v>16</v>
      </c>
      <c r="O81" s="2" t="s">
        <v>16</v>
      </c>
      <c r="P81" s="2" t="s">
        <v>16</v>
      </c>
      <c r="Q81" s="2" t="s">
        <v>16</v>
      </c>
      <c r="R81" s="2" t="s">
        <v>16</v>
      </c>
      <c r="S81" s="2">
        <v>125884</v>
      </c>
      <c r="T81" s="2">
        <v>114552</v>
      </c>
      <c r="U81" s="2" t="s">
        <v>16</v>
      </c>
      <c r="V81" s="3"/>
    </row>
    <row r="82" spans="1:22" hidden="1" x14ac:dyDescent="0.2">
      <c r="A82" t="s">
        <v>127</v>
      </c>
      <c r="B82" t="s">
        <v>7</v>
      </c>
      <c r="C82" t="s">
        <v>128</v>
      </c>
      <c r="D82" s="2" t="s">
        <v>16</v>
      </c>
      <c r="E82" s="2" t="s">
        <v>16</v>
      </c>
      <c r="F82" s="2" t="s">
        <v>16</v>
      </c>
      <c r="G82" s="2" t="s">
        <v>16</v>
      </c>
      <c r="H82" s="2" t="s">
        <v>16</v>
      </c>
      <c r="I82" s="2" t="s">
        <v>16</v>
      </c>
      <c r="J82" s="2" t="s">
        <v>16</v>
      </c>
      <c r="K82" s="2">
        <v>164134</v>
      </c>
      <c r="L82" s="2" t="s">
        <v>16</v>
      </c>
      <c r="M82" s="2" t="s">
        <v>16</v>
      </c>
      <c r="N82" s="2" t="s">
        <v>16</v>
      </c>
      <c r="O82" s="2" t="s">
        <v>16</v>
      </c>
      <c r="P82" s="2" t="s">
        <v>16</v>
      </c>
      <c r="Q82" s="2" t="s">
        <v>16</v>
      </c>
      <c r="R82" s="2" t="s">
        <v>16</v>
      </c>
      <c r="S82" s="2" t="s">
        <v>16</v>
      </c>
      <c r="T82" s="2" t="s">
        <v>16</v>
      </c>
      <c r="U82" s="2" t="s">
        <v>16</v>
      </c>
      <c r="V82" s="3"/>
    </row>
    <row r="83" spans="1:22" hidden="1" x14ac:dyDescent="0.2">
      <c r="A83" t="s">
        <v>133</v>
      </c>
      <c r="B83" t="s">
        <v>7</v>
      </c>
      <c r="C83" t="s">
        <v>134</v>
      </c>
      <c r="D83" s="2" t="s">
        <v>16</v>
      </c>
      <c r="E83" s="2">
        <v>2598</v>
      </c>
      <c r="F83" s="2" t="s">
        <v>16</v>
      </c>
      <c r="G83" s="2" t="s">
        <v>16</v>
      </c>
      <c r="H83" s="2" t="s">
        <v>16</v>
      </c>
      <c r="I83" s="2" t="s">
        <v>16</v>
      </c>
      <c r="J83" s="2" t="s">
        <v>16</v>
      </c>
      <c r="K83" s="2" t="s">
        <v>16</v>
      </c>
      <c r="L83" s="2" t="s">
        <v>16</v>
      </c>
      <c r="M83" s="2" t="s">
        <v>16</v>
      </c>
      <c r="N83" s="2" t="s">
        <v>16</v>
      </c>
      <c r="O83" s="2" t="s">
        <v>16</v>
      </c>
      <c r="P83" s="2" t="s">
        <v>16</v>
      </c>
      <c r="Q83" s="2" t="s">
        <v>16</v>
      </c>
      <c r="R83" s="2" t="s">
        <v>16</v>
      </c>
      <c r="S83" s="2" t="s">
        <v>16</v>
      </c>
      <c r="T83" s="2" t="s">
        <v>16</v>
      </c>
      <c r="U83" s="2" t="s">
        <v>16</v>
      </c>
      <c r="V83" s="3"/>
    </row>
    <row r="84" spans="1:22" hidden="1" x14ac:dyDescent="0.2">
      <c r="A84" t="s">
        <v>135</v>
      </c>
      <c r="B84" t="s">
        <v>7</v>
      </c>
      <c r="C84" t="s">
        <v>136</v>
      </c>
      <c r="D84" s="2" t="s">
        <v>16</v>
      </c>
      <c r="E84" s="2" t="s">
        <v>16</v>
      </c>
      <c r="F84" s="2" t="s">
        <v>16</v>
      </c>
      <c r="G84" s="2" t="s">
        <v>16</v>
      </c>
      <c r="H84" s="2" t="s">
        <v>16</v>
      </c>
      <c r="I84" s="2" t="s">
        <v>16</v>
      </c>
      <c r="J84" s="2" t="s">
        <v>16</v>
      </c>
      <c r="K84" s="2" t="s">
        <v>16</v>
      </c>
      <c r="L84" s="2" t="s">
        <v>16</v>
      </c>
      <c r="M84" s="2" t="s">
        <v>16</v>
      </c>
      <c r="N84" s="2" t="s">
        <v>16</v>
      </c>
      <c r="O84" s="2" t="s">
        <v>16</v>
      </c>
      <c r="P84" s="2" t="s">
        <v>16</v>
      </c>
      <c r="Q84" s="2" t="s">
        <v>16</v>
      </c>
      <c r="R84" s="2" t="s">
        <v>16</v>
      </c>
      <c r="S84" s="2" t="s">
        <v>16</v>
      </c>
      <c r="T84" s="2" t="s">
        <v>16</v>
      </c>
      <c r="U84" s="2" t="s">
        <v>16</v>
      </c>
      <c r="V84" s="3"/>
    </row>
    <row r="85" spans="1:22" hidden="1" x14ac:dyDescent="0.2">
      <c r="A85" t="s">
        <v>137</v>
      </c>
      <c r="B85" t="s">
        <v>7</v>
      </c>
      <c r="C85" t="s">
        <v>138</v>
      </c>
      <c r="D85" s="2" t="s">
        <v>16</v>
      </c>
      <c r="E85" s="2" t="s">
        <v>16</v>
      </c>
      <c r="F85" s="2">
        <v>11</v>
      </c>
      <c r="G85" s="2" t="s">
        <v>16</v>
      </c>
      <c r="H85" s="2" t="s">
        <v>16</v>
      </c>
      <c r="I85" s="2" t="s">
        <v>16</v>
      </c>
      <c r="J85" s="2" t="s">
        <v>16</v>
      </c>
      <c r="K85" s="2" t="s">
        <v>16</v>
      </c>
      <c r="L85" s="2" t="s">
        <v>16</v>
      </c>
      <c r="M85" s="2" t="s">
        <v>16</v>
      </c>
      <c r="N85" s="2" t="s">
        <v>16</v>
      </c>
      <c r="O85" s="2" t="s">
        <v>16</v>
      </c>
      <c r="P85" s="2">
        <v>139697</v>
      </c>
      <c r="Q85" s="2" t="s">
        <v>16</v>
      </c>
      <c r="R85" s="2" t="s">
        <v>16</v>
      </c>
      <c r="S85" s="2" t="s">
        <v>16</v>
      </c>
      <c r="T85" s="2" t="s">
        <v>16</v>
      </c>
      <c r="U85" s="2" t="s">
        <v>16</v>
      </c>
      <c r="V85" s="3"/>
    </row>
    <row r="86" spans="1:22" hidden="1" x14ac:dyDescent="0.2">
      <c r="A86" t="s">
        <v>139</v>
      </c>
      <c r="B86" t="s">
        <v>7</v>
      </c>
      <c r="C86" t="s">
        <v>140</v>
      </c>
      <c r="D86" s="2">
        <v>647761</v>
      </c>
      <c r="E86" s="2">
        <v>522233</v>
      </c>
      <c r="F86" s="2">
        <v>233548</v>
      </c>
      <c r="G86" s="2">
        <v>158921</v>
      </c>
      <c r="H86" s="2">
        <v>328405</v>
      </c>
      <c r="I86" s="2">
        <v>355079</v>
      </c>
      <c r="J86" s="2">
        <v>423657</v>
      </c>
      <c r="K86" s="2">
        <v>312491</v>
      </c>
      <c r="L86" s="2">
        <v>81437</v>
      </c>
      <c r="M86" s="2">
        <v>77971</v>
      </c>
      <c r="N86" s="2">
        <v>136831</v>
      </c>
      <c r="O86" s="2">
        <v>30314</v>
      </c>
      <c r="P86" s="2" t="s">
        <v>16</v>
      </c>
      <c r="Q86" s="2" t="s">
        <v>16</v>
      </c>
      <c r="R86" s="2">
        <v>118</v>
      </c>
      <c r="S86" s="2" t="s">
        <v>16</v>
      </c>
      <c r="T86" s="2">
        <v>137854</v>
      </c>
      <c r="U86" s="2" t="s">
        <v>16</v>
      </c>
      <c r="V86" s="3"/>
    </row>
    <row r="87" spans="1:22" hidden="1" x14ac:dyDescent="0.2">
      <c r="A87" t="s">
        <v>141</v>
      </c>
      <c r="B87" t="s">
        <v>7</v>
      </c>
      <c r="C87" t="s">
        <v>142</v>
      </c>
      <c r="D87" s="2" t="s">
        <v>16</v>
      </c>
      <c r="E87" s="2" t="s">
        <v>16</v>
      </c>
      <c r="F87" s="2" t="s">
        <v>16</v>
      </c>
      <c r="G87" s="2" t="s">
        <v>16</v>
      </c>
      <c r="H87" s="2" t="s">
        <v>16</v>
      </c>
      <c r="I87" s="2" t="s">
        <v>16</v>
      </c>
      <c r="J87" s="2" t="s">
        <v>16</v>
      </c>
      <c r="K87" s="2">
        <v>22</v>
      </c>
      <c r="L87" s="2">
        <v>621</v>
      </c>
      <c r="M87" s="2" t="s">
        <v>16</v>
      </c>
      <c r="N87" s="2" t="s">
        <v>16</v>
      </c>
      <c r="O87" s="2" t="s">
        <v>16</v>
      </c>
      <c r="P87" s="2" t="s">
        <v>16</v>
      </c>
      <c r="Q87" s="2" t="s">
        <v>16</v>
      </c>
      <c r="R87" s="2" t="s">
        <v>16</v>
      </c>
      <c r="S87" s="2">
        <v>27</v>
      </c>
      <c r="T87" s="2" t="s">
        <v>16</v>
      </c>
      <c r="U87" s="2" t="s">
        <v>16</v>
      </c>
      <c r="V87" s="3"/>
    </row>
    <row r="88" spans="1:22" hidden="1" x14ac:dyDescent="0.2">
      <c r="A88" t="s">
        <v>143</v>
      </c>
      <c r="B88" t="s">
        <v>7</v>
      </c>
      <c r="C88" t="s">
        <v>144</v>
      </c>
      <c r="D88" s="2" t="s">
        <v>16</v>
      </c>
      <c r="E88" s="2" t="s">
        <v>16</v>
      </c>
      <c r="F88" s="2" t="s">
        <v>16</v>
      </c>
      <c r="G88" s="2" t="s">
        <v>16</v>
      </c>
      <c r="H88" s="2" t="s">
        <v>16</v>
      </c>
      <c r="I88" s="2" t="s">
        <v>16</v>
      </c>
      <c r="J88" s="2" t="s">
        <v>16</v>
      </c>
      <c r="K88" s="2" t="s">
        <v>16</v>
      </c>
      <c r="L88" s="2" t="s">
        <v>16</v>
      </c>
      <c r="M88" s="2" t="s">
        <v>16</v>
      </c>
      <c r="N88" s="2" t="s">
        <v>16</v>
      </c>
      <c r="O88" s="2">
        <v>88</v>
      </c>
      <c r="P88" s="2" t="s">
        <v>16</v>
      </c>
      <c r="Q88" s="2">
        <v>66</v>
      </c>
      <c r="R88" s="2" t="s">
        <v>16</v>
      </c>
      <c r="S88" s="2">
        <v>44</v>
      </c>
      <c r="T88" s="2" t="s">
        <v>16</v>
      </c>
      <c r="U88" s="2" t="s">
        <v>16</v>
      </c>
      <c r="V88" s="3"/>
    </row>
    <row r="89" spans="1:22" x14ac:dyDescent="0.2"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2" x14ac:dyDescent="0.2">
      <c r="D90" s="2">
        <f t="shared" ref="D90:T90" si="4">SUM(D15:D89)</f>
        <v>4385502</v>
      </c>
      <c r="E90" s="2">
        <f t="shared" si="4"/>
        <v>2958998</v>
      </c>
      <c r="F90" s="2">
        <f t="shared" si="4"/>
        <v>2804705</v>
      </c>
      <c r="G90" s="2">
        <f t="shared" si="4"/>
        <v>3966777</v>
      </c>
      <c r="H90" s="2">
        <f t="shared" si="4"/>
        <v>4364093</v>
      </c>
      <c r="I90" s="2">
        <f t="shared" si="4"/>
        <v>5110823</v>
      </c>
      <c r="J90" s="2">
        <f t="shared" si="4"/>
        <v>6672569</v>
      </c>
      <c r="K90" s="2">
        <f t="shared" si="4"/>
        <v>5544247</v>
      </c>
      <c r="L90" s="2">
        <f t="shared" si="4"/>
        <v>3294156</v>
      </c>
      <c r="M90" s="2">
        <f t="shared" si="4"/>
        <v>1949262</v>
      </c>
      <c r="N90" s="2">
        <f t="shared" si="4"/>
        <v>3901498</v>
      </c>
      <c r="O90" s="2">
        <f t="shared" si="4"/>
        <v>4291829</v>
      </c>
      <c r="P90" s="2">
        <f t="shared" si="4"/>
        <v>4059181</v>
      </c>
      <c r="Q90" s="2">
        <f t="shared" si="4"/>
        <v>3373582</v>
      </c>
      <c r="R90" s="2">
        <f t="shared" si="4"/>
        <v>4405260</v>
      </c>
      <c r="S90" s="2">
        <f t="shared" si="4"/>
        <v>5226139</v>
      </c>
      <c r="T90" s="2">
        <f t="shared" si="4"/>
        <v>10043256</v>
      </c>
      <c r="U90" s="2">
        <f>SUM(U13:U89)</f>
        <v>11300277</v>
      </c>
      <c r="V90" s="3"/>
    </row>
    <row r="91" spans="1:22" x14ac:dyDescent="0.2">
      <c r="V91" s="21">
        <f>V48+V43+V41+V30+V27+V24+V22+V17</f>
        <v>1</v>
      </c>
    </row>
  </sheetData>
  <sortState xmlns:xlrd2="http://schemas.microsoft.com/office/spreadsheetml/2017/richdata2" ref="Y6:Z19">
    <sortCondition descending="1" ref="Z6:Z19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AA110"/>
  <sheetViews>
    <sheetView workbookViewId="0">
      <selection activeCell="D24" sqref="D24"/>
    </sheetView>
  </sheetViews>
  <sheetFormatPr baseColWidth="10" defaultColWidth="11" defaultRowHeight="16" x14ac:dyDescent="0.2"/>
  <cols>
    <col min="1" max="1" width="39.1640625" customWidth="1"/>
    <col min="3" max="3" width="16" customWidth="1"/>
  </cols>
  <sheetData>
    <row r="1" spans="1:27" x14ac:dyDescent="0.2">
      <c r="A1" s="4" t="s">
        <v>241</v>
      </c>
      <c r="B1" s="4"/>
      <c r="C1" s="4"/>
      <c r="D1" s="4"/>
    </row>
    <row r="2" spans="1:27" x14ac:dyDescent="0.2">
      <c r="A2" s="4" t="s">
        <v>242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x14ac:dyDescent="0.2">
      <c r="A3" s="4" t="s">
        <v>243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x14ac:dyDescent="0.2">
      <c r="A4" s="4" t="s">
        <v>3</v>
      </c>
      <c r="B4" s="4"/>
      <c r="C4" s="4"/>
      <c r="D4" s="4"/>
    </row>
    <row r="5" spans="1:27" x14ac:dyDescent="0.2">
      <c r="A5" s="4" t="s">
        <v>4</v>
      </c>
      <c r="B5" s="4">
        <v>2021</v>
      </c>
      <c r="C5" s="4"/>
      <c r="D5" s="4"/>
    </row>
    <row r="6" spans="1:27" x14ac:dyDescent="0.2">
      <c r="A6" s="4" t="s">
        <v>241</v>
      </c>
      <c r="B6" s="4"/>
      <c r="C6" s="4"/>
      <c r="D6" s="4"/>
    </row>
    <row r="7" spans="1:27" x14ac:dyDescent="0.2">
      <c r="A7" s="4" t="s">
        <v>8</v>
      </c>
      <c r="B7" s="4"/>
      <c r="C7" s="4"/>
      <c r="D7" s="4"/>
    </row>
    <row r="8" spans="1:27" x14ac:dyDescent="0.2">
      <c r="A8" s="4" t="s">
        <v>10</v>
      </c>
      <c r="B8" s="4">
        <v>30167791</v>
      </c>
      <c r="C8" s="16"/>
      <c r="D8" s="4"/>
    </row>
    <row r="9" spans="1:27" x14ac:dyDescent="0.2">
      <c r="A9" s="4" t="s">
        <v>12</v>
      </c>
      <c r="B9" s="4">
        <v>3190056</v>
      </c>
      <c r="C9" s="4"/>
      <c r="D9" s="4"/>
    </row>
    <row r="10" spans="1:27" x14ac:dyDescent="0.2">
      <c r="A10" s="4" t="s">
        <v>14</v>
      </c>
      <c r="B10" s="4">
        <v>26977735</v>
      </c>
      <c r="C10" s="4"/>
      <c r="D10" s="4"/>
    </row>
    <row r="11" spans="1:27" x14ac:dyDescent="0.2">
      <c r="A11" s="4" t="s">
        <v>15</v>
      </c>
      <c r="B11" s="4">
        <v>434</v>
      </c>
      <c r="C11" s="4"/>
      <c r="D11" s="4"/>
    </row>
    <row r="12" spans="1:27" x14ac:dyDescent="0.2">
      <c r="A12" s="4"/>
      <c r="B12" s="4"/>
      <c r="C12" s="4"/>
      <c r="D12" s="4"/>
    </row>
    <row r="13" spans="1:27" x14ac:dyDescent="0.2">
      <c r="A13" s="4"/>
      <c r="B13" s="4"/>
      <c r="C13" s="4"/>
      <c r="D13" s="4"/>
    </row>
    <row r="14" spans="1:27" x14ac:dyDescent="0.2">
      <c r="A14" s="4"/>
      <c r="B14" s="4"/>
      <c r="C14" s="4"/>
      <c r="D14" s="4"/>
    </row>
    <row r="15" spans="1:27" x14ac:dyDescent="0.2">
      <c r="A15" s="4"/>
      <c r="B15" s="15">
        <v>2021</v>
      </c>
      <c r="C15" s="15" t="s">
        <v>244</v>
      </c>
      <c r="D15" s="15" t="s">
        <v>154</v>
      </c>
    </row>
    <row r="16" spans="1:27" x14ac:dyDescent="0.2">
      <c r="A16" s="4" t="s">
        <v>118</v>
      </c>
      <c r="B16" s="4">
        <v>21</v>
      </c>
      <c r="C16" s="8">
        <f t="shared" ref="C16:C17" si="0">+B16/$B$110</f>
        <v>6.54073773915351E-6</v>
      </c>
      <c r="D16" s="4" t="s">
        <v>148</v>
      </c>
    </row>
    <row r="17" spans="1:4" x14ac:dyDescent="0.2">
      <c r="A17" s="4" t="s">
        <v>89</v>
      </c>
      <c r="B17" s="4">
        <v>1459887</v>
      </c>
      <c r="C17" s="8">
        <f t="shared" si="0"/>
        <v>0.45470180932379051</v>
      </c>
      <c r="D17" s="4" t="s">
        <v>148</v>
      </c>
    </row>
    <row r="18" spans="1:4" x14ac:dyDescent="0.2">
      <c r="A18" s="4"/>
      <c r="B18" s="4"/>
      <c r="C18" s="9">
        <f>SUM(C16:C17)</f>
        <v>0.45470835006152965</v>
      </c>
      <c r="D18" s="4"/>
    </row>
    <row r="19" spans="1:4" x14ac:dyDescent="0.2">
      <c r="A19" s="4"/>
      <c r="B19" s="4"/>
      <c r="C19" s="8"/>
      <c r="D19" s="4"/>
    </row>
    <row r="20" spans="1:4" x14ac:dyDescent="0.2">
      <c r="A20" s="4" t="s">
        <v>245</v>
      </c>
      <c r="B20" s="4">
        <v>20276</v>
      </c>
      <c r="C20" s="8">
        <f t="shared" ref="C20:C24" si="1">+B20/$B$110</f>
        <v>6.3152380190036467E-3</v>
      </c>
      <c r="D20" s="4" t="s">
        <v>246</v>
      </c>
    </row>
    <row r="21" spans="1:4" x14ac:dyDescent="0.2">
      <c r="A21" s="4" t="s">
        <v>19</v>
      </c>
      <c r="B21" s="4">
        <v>20591</v>
      </c>
      <c r="C21" s="8">
        <f t="shared" si="1"/>
        <v>6.4133490850909487E-3</v>
      </c>
      <c r="D21" s="4" t="s">
        <v>246</v>
      </c>
    </row>
    <row r="22" spans="1:4" x14ac:dyDescent="0.2">
      <c r="A22" s="4" t="s">
        <v>34</v>
      </c>
      <c r="B22" s="4">
        <v>56894</v>
      </c>
      <c r="C22" s="8">
        <f t="shared" si="1"/>
        <v>1.7720415853876181E-2</v>
      </c>
      <c r="D22" s="4" t="s">
        <v>246</v>
      </c>
    </row>
    <row r="23" spans="1:4" x14ac:dyDescent="0.2">
      <c r="A23" s="4" t="s">
        <v>172</v>
      </c>
      <c r="B23" s="4">
        <v>68122</v>
      </c>
      <c r="C23" s="8">
        <f t="shared" si="1"/>
        <v>2.1217530298410257E-2</v>
      </c>
      <c r="D23" s="4" t="s">
        <v>246</v>
      </c>
    </row>
    <row r="24" spans="1:4" x14ac:dyDescent="0.2">
      <c r="A24" s="4" t="s">
        <v>49</v>
      </c>
      <c r="B24" s="4">
        <v>272102</v>
      </c>
      <c r="C24" s="8">
        <f t="shared" si="1"/>
        <v>8.4749896204721356E-2</v>
      </c>
      <c r="D24" s="4" t="s">
        <v>246</v>
      </c>
    </row>
    <row r="25" spans="1:4" x14ac:dyDescent="0.2">
      <c r="A25" s="4"/>
      <c r="B25" s="4"/>
      <c r="C25" s="9">
        <f>SUM(C20:C24)</f>
        <v>0.13641642946110238</v>
      </c>
      <c r="D25" s="4"/>
    </row>
    <row r="26" spans="1:4" x14ac:dyDescent="0.2">
      <c r="A26" s="4"/>
      <c r="B26" s="4"/>
      <c r="C26" s="8"/>
      <c r="D26" s="4"/>
    </row>
    <row r="27" spans="1:4" x14ac:dyDescent="0.2">
      <c r="A27" s="4" t="s">
        <v>27</v>
      </c>
      <c r="B27" s="4">
        <v>119560</v>
      </c>
      <c r="C27" s="9">
        <f t="shared" ref="C27" si="2">+B27/$B$110</f>
        <v>3.7238600194913984E-2</v>
      </c>
      <c r="D27" s="4" t="s">
        <v>26</v>
      </c>
    </row>
    <row r="28" spans="1:4" x14ac:dyDescent="0.2">
      <c r="A28" s="4"/>
      <c r="B28" s="4"/>
      <c r="C28" s="8"/>
      <c r="D28" s="4"/>
    </row>
    <row r="29" spans="1:4" x14ac:dyDescent="0.2">
      <c r="A29" s="4"/>
      <c r="B29" s="4"/>
      <c r="C29" s="8"/>
      <c r="D29" s="4"/>
    </row>
    <row r="30" spans="1:4" x14ac:dyDescent="0.2">
      <c r="A30" s="4" t="s">
        <v>37</v>
      </c>
      <c r="B30" s="4">
        <v>298707</v>
      </c>
      <c r="C30" s="9">
        <f t="shared" ref="C30" si="3">+B30/$B$110</f>
        <v>9.3036387992825126E-2</v>
      </c>
      <c r="D30" s="4" t="s">
        <v>36</v>
      </c>
    </row>
    <row r="31" spans="1:4" x14ac:dyDescent="0.2">
      <c r="A31" s="4"/>
      <c r="B31" s="4"/>
      <c r="C31" s="8"/>
      <c r="D31" s="4"/>
    </row>
    <row r="32" spans="1:4" x14ac:dyDescent="0.2">
      <c r="A32" s="4"/>
      <c r="B32" s="4"/>
      <c r="C32" s="8"/>
      <c r="D32" s="4"/>
    </row>
    <row r="33" spans="1:4" x14ac:dyDescent="0.2">
      <c r="A33" s="4" t="s">
        <v>24</v>
      </c>
      <c r="B33" s="4">
        <v>3</v>
      </c>
      <c r="C33" s="8">
        <f t="shared" ref="C33:C41" si="4">+B33/$B$110</f>
        <v>9.3439110559335857E-7</v>
      </c>
      <c r="D33" s="4" t="s">
        <v>181</v>
      </c>
    </row>
    <row r="34" spans="1:4" x14ac:dyDescent="0.2">
      <c r="A34" s="4" t="s">
        <v>247</v>
      </c>
      <c r="B34" s="4">
        <v>26</v>
      </c>
      <c r="C34" s="8">
        <f t="shared" si="4"/>
        <v>8.0980562484757743E-6</v>
      </c>
      <c r="D34" s="4" t="s">
        <v>181</v>
      </c>
    </row>
    <row r="35" spans="1:4" x14ac:dyDescent="0.2">
      <c r="A35" s="4" t="s">
        <v>122</v>
      </c>
      <c r="B35" s="4">
        <v>2192</v>
      </c>
      <c r="C35" s="8">
        <f t="shared" si="4"/>
        <v>6.8272843448688068E-4</v>
      </c>
      <c r="D35" s="4" t="s">
        <v>181</v>
      </c>
    </row>
    <row r="36" spans="1:4" x14ac:dyDescent="0.2">
      <c r="A36" s="4" t="s">
        <v>73</v>
      </c>
      <c r="B36" s="4">
        <v>39507</v>
      </c>
      <c r="C36" s="8">
        <f t="shared" si="4"/>
        <v>1.2304996469558939E-2</v>
      </c>
      <c r="D36" s="4" t="s">
        <v>181</v>
      </c>
    </row>
    <row r="37" spans="1:4" x14ac:dyDescent="0.2">
      <c r="A37" s="4" t="s">
        <v>57</v>
      </c>
      <c r="B37" s="4">
        <v>86272</v>
      </c>
      <c r="C37" s="8">
        <f t="shared" si="4"/>
        <v>2.6870596487250077E-2</v>
      </c>
      <c r="D37" s="4" t="s">
        <v>181</v>
      </c>
    </row>
    <row r="38" spans="1:4" x14ac:dyDescent="0.2">
      <c r="A38" s="4" t="s">
        <v>133</v>
      </c>
      <c r="B38" s="4">
        <v>86587</v>
      </c>
      <c r="C38" s="8">
        <f t="shared" si="4"/>
        <v>2.6968707553337381E-2</v>
      </c>
      <c r="D38" s="4" t="s">
        <v>181</v>
      </c>
    </row>
    <row r="39" spans="1:4" x14ac:dyDescent="0.2">
      <c r="A39" s="4" t="s">
        <v>91</v>
      </c>
      <c r="B39" s="4">
        <v>106461</v>
      </c>
      <c r="C39" s="8">
        <f t="shared" si="4"/>
        <v>3.3158737164191515E-2</v>
      </c>
      <c r="D39" s="4" t="s">
        <v>181</v>
      </c>
    </row>
    <row r="40" spans="1:4" x14ac:dyDescent="0.2">
      <c r="A40" s="4" t="s">
        <v>59</v>
      </c>
      <c r="B40" s="4">
        <v>161752</v>
      </c>
      <c r="C40" s="8">
        <f t="shared" si="4"/>
        <v>5.0379876703978983E-2</v>
      </c>
      <c r="D40" s="4" t="s">
        <v>181</v>
      </c>
    </row>
    <row r="41" spans="1:4" x14ac:dyDescent="0.2">
      <c r="A41" s="4" t="s">
        <v>105</v>
      </c>
      <c r="B41" s="4">
        <v>177683</v>
      </c>
      <c r="C41" s="8">
        <f t="shared" si="4"/>
        <v>5.5341804938381575E-2</v>
      </c>
      <c r="D41" s="4" t="s">
        <v>181</v>
      </c>
    </row>
    <row r="42" spans="1:4" x14ac:dyDescent="0.2">
      <c r="A42" s="4"/>
      <c r="B42" s="4"/>
      <c r="C42" s="9">
        <f>SUM(C33:C41)</f>
        <v>0.20571648019853944</v>
      </c>
      <c r="D42" s="4"/>
    </row>
    <row r="43" spans="1:4" x14ac:dyDescent="0.2">
      <c r="A43" s="4"/>
      <c r="B43" s="4"/>
      <c r="C43" s="8"/>
      <c r="D43" s="4"/>
    </row>
    <row r="44" spans="1:4" x14ac:dyDescent="0.2">
      <c r="A44" s="4" t="s">
        <v>66</v>
      </c>
      <c r="B44" s="4">
        <v>1139</v>
      </c>
      <c r="C44" s="9">
        <f t="shared" ref="C44" si="5">+B44/$B$110</f>
        <v>3.5475715642361183E-4</v>
      </c>
      <c r="D44" s="4" t="s">
        <v>65</v>
      </c>
    </row>
    <row r="45" spans="1:4" x14ac:dyDescent="0.2">
      <c r="A45" s="4"/>
      <c r="B45" s="4"/>
      <c r="C45" s="8"/>
      <c r="D45" s="4"/>
    </row>
    <row r="46" spans="1:4" x14ac:dyDescent="0.2">
      <c r="A46" s="4"/>
      <c r="B46" s="4"/>
      <c r="C46" s="8"/>
      <c r="D46" s="4"/>
    </row>
    <row r="47" spans="1:4" x14ac:dyDescent="0.2">
      <c r="A47" s="4" t="s">
        <v>78</v>
      </c>
      <c r="B47" s="4">
        <v>104083</v>
      </c>
      <c r="C47" s="9">
        <f t="shared" ref="C47" si="6">+B47/$B$110</f>
        <v>3.2418076481157847E-2</v>
      </c>
      <c r="D47" s="4" t="s">
        <v>77</v>
      </c>
    </row>
    <row r="48" spans="1:4" x14ac:dyDescent="0.2">
      <c r="A48" s="4"/>
      <c r="B48" s="4"/>
      <c r="C48" s="8"/>
      <c r="D48" s="4"/>
    </row>
    <row r="49" spans="1:4" x14ac:dyDescent="0.2">
      <c r="A49" s="4"/>
      <c r="B49" s="4"/>
      <c r="C49" s="8"/>
      <c r="D49" s="4"/>
    </row>
    <row r="50" spans="1:4" ht="17" customHeight="1" x14ac:dyDescent="0.2">
      <c r="A50" s="4" t="s">
        <v>137</v>
      </c>
      <c r="B50" s="4">
        <v>3</v>
      </c>
      <c r="C50" s="8">
        <f t="shared" ref="C50:C52" si="7">+B50/$B$110</f>
        <v>9.3439110559335857E-7</v>
      </c>
      <c r="D50" s="4" t="s">
        <v>248</v>
      </c>
    </row>
    <row r="51" spans="1:4" x14ac:dyDescent="0.2">
      <c r="A51" s="4" t="s">
        <v>112</v>
      </c>
      <c r="B51" s="4">
        <v>186</v>
      </c>
      <c r="C51" s="8">
        <f t="shared" si="7"/>
        <v>5.7932248546788233E-5</v>
      </c>
      <c r="D51" s="4" t="s">
        <v>248</v>
      </c>
    </row>
    <row r="52" spans="1:4" x14ac:dyDescent="0.2">
      <c r="A52" s="4" t="s">
        <v>80</v>
      </c>
      <c r="B52" s="4">
        <v>63948</v>
      </c>
      <c r="C52" s="8">
        <f t="shared" si="7"/>
        <v>1.9917480806828033E-2</v>
      </c>
      <c r="D52" s="4" t="s">
        <v>248</v>
      </c>
    </row>
    <row r="53" spans="1:4" x14ac:dyDescent="0.2">
      <c r="A53" s="4"/>
      <c r="B53" s="4"/>
      <c r="C53" s="9">
        <f>SUM(C50:C52)</f>
        <v>1.9976347446480414E-2</v>
      </c>
      <c r="D53" s="4"/>
    </row>
    <row r="54" spans="1:4" x14ac:dyDescent="0.2">
      <c r="A54" s="4"/>
      <c r="B54" s="4"/>
      <c r="C54" s="8"/>
      <c r="D54" s="4"/>
    </row>
    <row r="55" spans="1:4" x14ac:dyDescent="0.2">
      <c r="A55" s="4" t="s">
        <v>249</v>
      </c>
      <c r="B55" s="4">
        <v>210</v>
      </c>
      <c r="C55" s="8">
        <f t="shared" ref="C55:C58" si="8">+B55/$B$110</f>
        <v>6.5407377391535102E-5</v>
      </c>
      <c r="D55" s="11" t="s">
        <v>153</v>
      </c>
    </row>
    <row r="56" spans="1:4" x14ac:dyDescent="0.2">
      <c r="A56" s="4" t="s">
        <v>129</v>
      </c>
      <c r="B56" s="4">
        <v>448</v>
      </c>
      <c r="C56" s="8">
        <f t="shared" si="8"/>
        <v>1.3953573843527488E-4</v>
      </c>
      <c r="D56" s="11" t="s">
        <v>153</v>
      </c>
    </row>
    <row r="57" spans="1:4" x14ac:dyDescent="0.2">
      <c r="A57" s="4" t="s">
        <v>250</v>
      </c>
      <c r="B57" s="4">
        <v>525</v>
      </c>
      <c r="C57" s="8">
        <f t="shared" si="8"/>
        <v>1.6351844347883775E-4</v>
      </c>
      <c r="D57" s="11" t="s">
        <v>153</v>
      </c>
    </row>
    <row r="58" spans="1:4" x14ac:dyDescent="0.2">
      <c r="A58" s="4" t="s">
        <v>251</v>
      </c>
      <c r="B58" s="4">
        <v>716</v>
      </c>
      <c r="C58" s="8">
        <f t="shared" si="8"/>
        <v>2.2300801053494826E-4</v>
      </c>
      <c r="D58" s="11" t="s">
        <v>153</v>
      </c>
    </row>
    <row r="59" spans="1:4" x14ac:dyDescent="0.2">
      <c r="A59" s="4" t="s">
        <v>99</v>
      </c>
      <c r="B59" s="4">
        <v>62411</v>
      </c>
      <c r="C59" s="8">
        <f>+B59/$B$110</f>
        <v>1.9438761097062367E-2</v>
      </c>
      <c r="D59" s="11" t="s">
        <v>153</v>
      </c>
    </row>
    <row r="60" spans="1:4" x14ac:dyDescent="0.2">
      <c r="A60" s="4" t="s">
        <v>252</v>
      </c>
      <c r="B60" s="4">
        <v>251</v>
      </c>
      <c r="C60" s="8">
        <f t="shared" ref="C60" si="9">+B60/$B$110</f>
        <v>7.8177389167977663E-5</v>
      </c>
      <c r="D60" s="4" t="s">
        <v>253</v>
      </c>
    </row>
    <row r="61" spans="1:4" x14ac:dyDescent="0.2">
      <c r="A61" s="4"/>
      <c r="B61" s="4"/>
      <c r="C61" s="9">
        <f>SUM(C55:C60)</f>
        <v>2.0108408056070941E-2</v>
      </c>
      <c r="D61" s="4"/>
    </row>
    <row r="62" spans="1:4" x14ac:dyDescent="0.2">
      <c r="A62" s="4"/>
      <c r="B62" s="4"/>
      <c r="C62" s="8"/>
      <c r="D62" s="4"/>
    </row>
    <row r="63" spans="1:4" x14ac:dyDescent="0.2">
      <c r="A63" s="4" t="s">
        <v>120</v>
      </c>
      <c r="B63" s="4">
        <v>84</v>
      </c>
      <c r="C63" s="9">
        <f>+B63/$B$110</f>
        <v>2.616295095661404E-5</v>
      </c>
      <c r="D63" s="4" t="s">
        <v>254</v>
      </c>
    </row>
    <row r="64" spans="1:4" x14ac:dyDescent="0.2">
      <c r="A64" s="4"/>
      <c r="B64" s="4"/>
      <c r="C64" s="8"/>
      <c r="D64" s="4"/>
    </row>
    <row r="66" spans="1:4" hidden="1" x14ac:dyDescent="0.2">
      <c r="A66" s="4" t="s">
        <v>255</v>
      </c>
      <c r="B66" s="4" t="s">
        <v>16</v>
      </c>
      <c r="C66" s="4"/>
      <c r="D66" s="4"/>
    </row>
    <row r="67" spans="1:4" hidden="1" x14ac:dyDescent="0.2">
      <c r="A67" s="4" t="s">
        <v>20</v>
      </c>
      <c r="B67" s="4" t="s">
        <v>16</v>
      </c>
      <c r="C67" s="4"/>
      <c r="D67" s="4"/>
    </row>
    <row r="68" spans="1:4" hidden="1" x14ac:dyDescent="0.2">
      <c r="A68" s="4" t="s">
        <v>256</v>
      </c>
      <c r="B68" s="4" t="s">
        <v>16</v>
      </c>
      <c r="C68" s="4"/>
      <c r="D68" s="4"/>
    </row>
    <row r="69" spans="1:4" hidden="1" x14ac:dyDescent="0.2">
      <c r="A69" s="4" t="s">
        <v>22</v>
      </c>
      <c r="B69" s="4" t="s">
        <v>16</v>
      </c>
      <c r="C69" s="4"/>
      <c r="D69" s="4"/>
    </row>
    <row r="70" spans="1:4" hidden="1" x14ac:dyDescent="0.2">
      <c r="A70" s="4" t="s">
        <v>32</v>
      </c>
      <c r="B70" s="4" t="s">
        <v>16</v>
      </c>
      <c r="C70" s="4"/>
      <c r="D70" s="4"/>
    </row>
    <row r="71" spans="1:4" hidden="1" x14ac:dyDescent="0.2">
      <c r="A71" s="4" t="s">
        <v>41</v>
      </c>
      <c r="B71" s="4" t="s">
        <v>16</v>
      </c>
      <c r="C71" s="4"/>
      <c r="D71" s="4"/>
    </row>
    <row r="72" spans="1:4" hidden="1" x14ac:dyDescent="0.2">
      <c r="A72" s="4" t="s">
        <v>43</v>
      </c>
      <c r="B72" s="4" t="s">
        <v>16</v>
      </c>
      <c r="C72" s="4"/>
      <c r="D72" s="4"/>
    </row>
    <row r="73" spans="1:4" hidden="1" x14ac:dyDescent="0.2">
      <c r="A73" s="4" t="s">
        <v>45</v>
      </c>
      <c r="B73" s="4" t="s">
        <v>16</v>
      </c>
      <c r="C73" s="4"/>
      <c r="D73" s="4"/>
    </row>
    <row r="74" spans="1:4" hidden="1" x14ac:dyDescent="0.2">
      <c r="A74" s="4" t="s">
        <v>51</v>
      </c>
      <c r="B74" s="4" t="s">
        <v>16</v>
      </c>
      <c r="C74" s="4"/>
      <c r="D74" s="4"/>
    </row>
    <row r="75" spans="1:4" hidden="1" x14ac:dyDescent="0.2">
      <c r="A75" s="4" t="s">
        <v>53</v>
      </c>
      <c r="B75" s="4" t="s">
        <v>16</v>
      </c>
      <c r="C75" s="4"/>
      <c r="D75" s="4"/>
    </row>
    <row r="76" spans="1:4" hidden="1" x14ac:dyDescent="0.2">
      <c r="A76" s="4" t="s">
        <v>257</v>
      </c>
      <c r="B76" s="4" t="s">
        <v>16</v>
      </c>
      <c r="C76" s="4"/>
      <c r="D76" s="4"/>
    </row>
    <row r="77" spans="1:4" hidden="1" x14ac:dyDescent="0.2">
      <c r="A77" s="4" t="s">
        <v>55</v>
      </c>
      <c r="B77" s="4" t="s">
        <v>16</v>
      </c>
      <c r="C77" s="4"/>
      <c r="D77" s="4"/>
    </row>
    <row r="78" spans="1:4" hidden="1" x14ac:dyDescent="0.2">
      <c r="A78" s="4" t="s">
        <v>61</v>
      </c>
      <c r="B78" s="4" t="s">
        <v>16</v>
      </c>
      <c r="C78" s="4"/>
      <c r="D78" s="4"/>
    </row>
    <row r="79" spans="1:4" hidden="1" x14ac:dyDescent="0.2">
      <c r="A79" s="4" t="s">
        <v>178</v>
      </c>
      <c r="B79" s="4" t="s">
        <v>16</v>
      </c>
      <c r="C79" s="4"/>
      <c r="D79" s="4"/>
    </row>
    <row r="80" spans="1:4" hidden="1" x14ac:dyDescent="0.2">
      <c r="A80" s="4" t="s">
        <v>63</v>
      </c>
      <c r="B80" s="4" t="s">
        <v>16</v>
      </c>
      <c r="C80" s="4"/>
      <c r="D80" s="4"/>
    </row>
    <row r="81" spans="1:4" hidden="1" x14ac:dyDescent="0.2">
      <c r="A81" s="4" t="s">
        <v>258</v>
      </c>
      <c r="B81" s="4" t="s">
        <v>16</v>
      </c>
      <c r="C81" s="4"/>
      <c r="D81" s="4"/>
    </row>
    <row r="82" spans="1:4" hidden="1" x14ac:dyDescent="0.2">
      <c r="A82" s="4" t="s">
        <v>206</v>
      </c>
      <c r="B82" s="4" t="s">
        <v>16</v>
      </c>
      <c r="C82" s="4"/>
      <c r="D82" s="4"/>
    </row>
    <row r="83" spans="1:4" hidden="1" x14ac:dyDescent="0.2">
      <c r="A83" s="4" t="s">
        <v>68</v>
      </c>
      <c r="B83" s="4" t="s">
        <v>16</v>
      </c>
      <c r="C83" s="4"/>
      <c r="D83" s="4"/>
    </row>
    <row r="84" spans="1:4" hidden="1" x14ac:dyDescent="0.2">
      <c r="A84" s="4" t="s">
        <v>82</v>
      </c>
      <c r="B84" s="4" t="s">
        <v>16</v>
      </c>
      <c r="C84" s="4"/>
      <c r="D84" s="4"/>
    </row>
    <row r="85" spans="1:4" hidden="1" x14ac:dyDescent="0.2">
      <c r="A85" s="4" t="s">
        <v>212</v>
      </c>
      <c r="B85" s="4" t="s">
        <v>16</v>
      </c>
      <c r="C85" s="4"/>
      <c r="D85" s="4"/>
    </row>
    <row r="86" spans="1:4" hidden="1" x14ac:dyDescent="0.2">
      <c r="A86" s="4" t="s">
        <v>84</v>
      </c>
      <c r="B86" s="4" t="s">
        <v>16</v>
      </c>
      <c r="C86" s="4"/>
      <c r="D86" s="4"/>
    </row>
    <row r="87" spans="1:4" hidden="1" x14ac:dyDescent="0.2">
      <c r="A87" s="4" t="s">
        <v>215</v>
      </c>
      <c r="B87" s="4" t="s">
        <v>16</v>
      </c>
      <c r="C87" s="4"/>
      <c r="D87" s="4"/>
    </row>
    <row r="88" spans="1:4" hidden="1" x14ac:dyDescent="0.2">
      <c r="A88" s="4" t="s">
        <v>217</v>
      </c>
      <c r="B88" s="4" t="s">
        <v>16</v>
      </c>
      <c r="C88" s="4"/>
      <c r="D88" s="4"/>
    </row>
    <row r="89" spans="1:4" hidden="1" x14ac:dyDescent="0.2">
      <c r="A89" s="4" t="s">
        <v>259</v>
      </c>
      <c r="B89" s="4" t="s">
        <v>16</v>
      </c>
      <c r="C89" s="4"/>
      <c r="D89" s="4"/>
    </row>
    <row r="90" spans="1:4" hidden="1" x14ac:dyDescent="0.2">
      <c r="A90" s="4" t="s">
        <v>87</v>
      </c>
      <c r="B90" s="4" t="s">
        <v>16</v>
      </c>
      <c r="C90" s="4"/>
      <c r="D90" s="4"/>
    </row>
    <row r="91" spans="1:4" hidden="1" x14ac:dyDescent="0.2">
      <c r="A91" s="4" t="s">
        <v>221</v>
      </c>
      <c r="B91" s="4" t="s">
        <v>16</v>
      </c>
      <c r="C91" s="4"/>
      <c r="D91" s="4"/>
    </row>
    <row r="92" spans="1:4" hidden="1" x14ac:dyDescent="0.2">
      <c r="A92" s="4" t="s">
        <v>95</v>
      </c>
      <c r="B92" s="4" t="s">
        <v>16</v>
      </c>
      <c r="C92" s="4"/>
      <c r="D92" s="4"/>
    </row>
    <row r="93" spans="1:4" hidden="1" x14ac:dyDescent="0.2">
      <c r="A93" s="4" t="s">
        <v>101</v>
      </c>
      <c r="B93" s="4" t="s">
        <v>16</v>
      </c>
      <c r="C93" s="4"/>
      <c r="D93" s="4"/>
    </row>
    <row r="94" spans="1:4" hidden="1" x14ac:dyDescent="0.2">
      <c r="A94" s="4" t="s">
        <v>224</v>
      </c>
      <c r="B94" s="4" t="s">
        <v>16</v>
      </c>
      <c r="C94" s="4"/>
      <c r="D94" s="4"/>
    </row>
    <row r="95" spans="1:4" hidden="1" x14ac:dyDescent="0.2">
      <c r="A95" s="4" t="s">
        <v>103</v>
      </c>
      <c r="B95" s="4" t="s">
        <v>16</v>
      </c>
      <c r="C95" s="4"/>
      <c r="D95" s="4"/>
    </row>
    <row r="96" spans="1:4" hidden="1" x14ac:dyDescent="0.2">
      <c r="A96" s="4" t="s">
        <v>260</v>
      </c>
      <c r="B96" s="4" t="s">
        <v>16</v>
      </c>
      <c r="C96" s="4"/>
      <c r="D96" s="4"/>
    </row>
    <row r="97" spans="1:4" hidden="1" x14ac:dyDescent="0.2">
      <c r="A97" s="4" t="s">
        <v>108</v>
      </c>
      <c r="B97" s="4" t="s">
        <v>16</v>
      </c>
      <c r="C97" s="4"/>
      <c r="D97" s="4"/>
    </row>
    <row r="98" spans="1:4" hidden="1" x14ac:dyDescent="0.2">
      <c r="A98" s="4" t="s">
        <v>110</v>
      </c>
      <c r="B98" s="4" t="s">
        <v>16</v>
      </c>
      <c r="C98" s="4"/>
      <c r="D98" s="4"/>
    </row>
    <row r="99" spans="1:4" hidden="1" x14ac:dyDescent="0.2">
      <c r="A99" s="4" t="s">
        <v>114</v>
      </c>
      <c r="B99" s="4" t="s">
        <v>16</v>
      </c>
      <c r="C99" s="4"/>
      <c r="D99" s="4"/>
    </row>
    <row r="100" spans="1:4" hidden="1" x14ac:dyDescent="0.2">
      <c r="A100" s="4" t="s">
        <v>116</v>
      </c>
      <c r="B100" s="4" t="s">
        <v>16</v>
      </c>
      <c r="C100" s="4"/>
      <c r="D100" s="4"/>
    </row>
    <row r="101" spans="1:4" hidden="1" x14ac:dyDescent="0.2">
      <c r="A101" s="4" t="s">
        <v>124</v>
      </c>
      <c r="B101" s="4"/>
      <c r="C101" s="4"/>
      <c r="D101" s="4"/>
    </row>
    <row r="102" spans="1:4" hidden="1" x14ac:dyDescent="0.2">
      <c r="A102" s="4" t="s">
        <v>127</v>
      </c>
      <c r="B102" s="4" t="s">
        <v>16</v>
      </c>
      <c r="C102" s="4"/>
      <c r="D102" s="4"/>
    </row>
    <row r="103" spans="1:4" hidden="1" x14ac:dyDescent="0.2">
      <c r="A103" s="4" t="s">
        <v>261</v>
      </c>
      <c r="B103" s="4" t="s">
        <v>16</v>
      </c>
      <c r="C103" s="4"/>
      <c r="D103" s="4"/>
    </row>
    <row r="104" spans="1:4" hidden="1" x14ac:dyDescent="0.2">
      <c r="A104" s="4" t="s">
        <v>164</v>
      </c>
      <c r="B104" s="4" t="s">
        <v>16</v>
      </c>
      <c r="C104" s="4"/>
      <c r="D104" s="4"/>
    </row>
    <row r="105" spans="1:4" hidden="1" x14ac:dyDescent="0.2">
      <c r="A105" s="4" t="s">
        <v>135</v>
      </c>
      <c r="B105" s="4" t="s">
        <v>16</v>
      </c>
      <c r="C105" s="4"/>
      <c r="D105" s="4"/>
    </row>
    <row r="106" spans="1:4" hidden="1" x14ac:dyDescent="0.2">
      <c r="A106" s="4" t="s">
        <v>139</v>
      </c>
      <c r="B106" s="4" t="s">
        <v>16</v>
      </c>
      <c r="C106" s="4"/>
      <c r="D106" s="4"/>
    </row>
    <row r="107" spans="1:4" hidden="1" x14ac:dyDescent="0.2">
      <c r="A107" s="4" t="s">
        <v>141</v>
      </c>
      <c r="B107" s="4" t="s">
        <v>16</v>
      </c>
      <c r="C107" s="4"/>
      <c r="D107" s="4"/>
    </row>
    <row r="108" spans="1:4" hidden="1" x14ac:dyDescent="0.2">
      <c r="A108" s="4" t="s">
        <v>143</v>
      </c>
      <c r="B108" s="4" t="s">
        <v>16</v>
      </c>
      <c r="C108" s="4"/>
      <c r="D108" s="4"/>
    </row>
    <row r="109" spans="1:4" hidden="1" x14ac:dyDescent="0.2">
      <c r="A109" s="4" t="s">
        <v>145</v>
      </c>
      <c r="B109" s="4" t="s">
        <v>16</v>
      </c>
      <c r="C109" s="4"/>
      <c r="D109" s="4"/>
    </row>
    <row r="110" spans="1:4" x14ac:dyDescent="0.2">
      <c r="A110" s="4"/>
      <c r="B110" s="17">
        <f>+SUM(B16:B65)</f>
        <v>3210647</v>
      </c>
      <c r="C110" s="8">
        <f>+C63+C61+C47+C44+C42+C30+C27+C25+C18+C53</f>
        <v>1</v>
      </c>
      <c r="D110" s="4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06E26-B499-478C-91DB-38A4F32D9F65}">
  <sheetPr>
    <tabColor rgb="FF92D050"/>
  </sheetPr>
  <dimension ref="A1:X31"/>
  <sheetViews>
    <sheetView topLeftCell="A11" workbookViewId="0">
      <selection activeCell="F26" sqref="F26"/>
    </sheetView>
  </sheetViews>
  <sheetFormatPr baseColWidth="10" defaultColWidth="9" defaultRowHeight="14" x14ac:dyDescent="0.2"/>
  <cols>
    <col min="1" max="16384" width="9" style="290"/>
  </cols>
  <sheetData>
    <row r="1" spans="1:24" x14ac:dyDescent="0.2">
      <c r="A1" s="290" t="s">
        <v>371</v>
      </c>
    </row>
    <row r="2" spans="1:24" x14ac:dyDescent="0.2">
      <c r="A2" s="290" t="s">
        <v>815</v>
      </c>
    </row>
    <row r="3" spans="1:24" x14ac:dyDescent="0.2">
      <c r="A3" s="290" t="s">
        <v>814</v>
      </c>
    </row>
    <row r="4" spans="1:24" x14ac:dyDescent="0.2">
      <c r="A4" s="290" t="s">
        <v>3</v>
      </c>
    </row>
    <row r="5" spans="1:24" x14ac:dyDescent="0.2">
      <c r="A5" s="290" t="s">
        <v>4</v>
      </c>
      <c r="C5" s="290" t="s">
        <v>6</v>
      </c>
      <c r="D5" s="290">
        <v>2001</v>
      </c>
      <c r="E5" s="290">
        <v>2002</v>
      </c>
      <c r="F5" s="290">
        <v>2003</v>
      </c>
      <c r="G5" s="290">
        <v>2004</v>
      </c>
      <c r="H5" s="290">
        <v>2005</v>
      </c>
      <c r="I5" s="290">
        <v>2006</v>
      </c>
      <c r="J5" s="290">
        <v>2007</v>
      </c>
      <c r="K5" s="290">
        <v>2008</v>
      </c>
      <c r="L5" s="290">
        <v>2009</v>
      </c>
      <c r="M5" s="290">
        <v>2010</v>
      </c>
      <c r="N5" s="290">
        <v>2011</v>
      </c>
      <c r="O5" s="290">
        <v>2012</v>
      </c>
      <c r="P5" s="290">
        <v>2013</v>
      </c>
      <c r="Q5" s="290">
        <v>2014</v>
      </c>
      <c r="R5" s="290">
        <v>2015</v>
      </c>
      <c r="S5" s="290">
        <v>2016</v>
      </c>
      <c r="T5" s="290">
        <v>2017</v>
      </c>
      <c r="U5" s="290">
        <v>2018</v>
      </c>
      <c r="V5" s="290">
        <v>2019</v>
      </c>
      <c r="W5" s="290">
        <v>2020</v>
      </c>
      <c r="X5" s="290">
        <v>2021</v>
      </c>
    </row>
    <row r="6" spans="1:24" x14ac:dyDescent="0.2">
      <c r="A6" s="290" t="s">
        <v>371</v>
      </c>
    </row>
    <row r="7" spans="1:24" x14ac:dyDescent="0.2">
      <c r="A7" s="290" t="s">
        <v>8</v>
      </c>
      <c r="C7" s="290" t="s">
        <v>9</v>
      </c>
    </row>
    <row r="8" spans="1:24" x14ac:dyDescent="0.2">
      <c r="A8" s="290" t="s">
        <v>10</v>
      </c>
      <c r="C8" s="290" t="s">
        <v>374</v>
      </c>
      <c r="D8" s="290">
        <v>1514</v>
      </c>
      <c r="E8" s="290">
        <v>4823</v>
      </c>
      <c r="F8" s="290">
        <v>3182</v>
      </c>
      <c r="G8" s="290">
        <v>4783</v>
      </c>
      <c r="H8" s="290">
        <v>4167</v>
      </c>
      <c r="I8" s="290">
        <v>38064</v>
      </c>
      <c r="J8" s="290">
        <v>899</v>
      </c>
      <c r="K8" s="290">
        <v>30581</v>
      </c>
      <c r="L8" s="290">
        <v>365260</v>
      </c>
      <c r="M8" s="290">
        <v>3500204</v>
      </c>
      <c r="N8" s="290">
        <v>4863661</v>
      </c>
      <c r="O8" s="290">
        <v>4746960</v>
      </c>
      <c r="P8" s="290">
        <v>4502803</v>
      </c>
      <c r="Q8" s="290">
        <v>4367927</v>
      </c>
      <c r="R8" s="290">
        <v>4036724</v>
      </c>
      <c r="S8" s="290">
        <v>1109551</v>
      </c>
      <c r="T8" s="290">
        <v>5993334</v>
      </c>
      <c r="U8" s="290">
        <v>6628645</v>
      </c>
      <c r="V8" s="290">
        <v>4806971</v>
      </c>
      <c r="W8" s="290">
        <v>4715925</v>
      </c>
      <c r="X8" s="290">
        <v>6504807</v>
      </c>
    </row>
    <row r="9" spans="1:24" x14ac:dyDescent="0.2">
      <c r="A9" s="290" t="s">
        <v>12</v>
      </c>
      <c r="C9" s="290" t="s">
        <v>375</v>
      </c>
      <c r="D9" s="290">
        <v>1376</v>
      </c>
      <c r="E9" s="290">
        <v>4823</v>
      </c>
      <c r="F9" s="290">
        <v>3182</v>
      </c>
      <c r="G9" s="290">
        <v>4783</v>
      </c>
      <c r="H9" s="290">
        <v>4167</v>
      </c>
      <c r="I9" s="290">
        <v>38064</v>
      </c>
      <c r="J9" s="290">
        <v>899</v>
      </c>
      <c r="K9" s="290">
        <v>30581</v>
      </c>
      <c r="L9" s="290">
        <v>245270</v>
      </c>
      <c r="M9" s="290">
        <v>3500204</v>
      </c>
      <c r="N9" s="290">
        <v>4863661</v>
      </c>
      <c r="O9" s="290">
        <v>4746960</v>
      </c>
      <c r="P9" s="290">
        <v>4502803</v>
      </c>
      <c r="Q9" s="290">
        <v>4367927</v>
      </c>
      <c r="R9" s="290">
        <v>4036724</v>
      </c>
      <c r="S9" s="290">
        <v>1109551</v>
      </c>
      <c r="T9" s="290">
        <v>5993334</v>
      </c>
      <c r="U9" s="290">
        <v>6628645</v>
      </c>
      <c r="V9" s="290">
        <v>4806971</v>
      </c>
      <c r="W9" s="290">
        <v>4715925</v>
      </c>
      <c r="X9" s="290">
        <v>6504807</v>
      </c>
    </row>
    <row r="10" spans="1:24" x14ac:dyDescent="0.2">
      <c r="A10" s="290" t="s">
        <v>14</v>
      </c>
      <c r="C10" s="290" t="s">
        <v>376</v>
      </c>
      <c r="D10" s="290">
        <v>138</v>
      </c>
      <c r="E10" s="290" t="s">
        <v>16</v>
      </c>
      <c r="F10" s="290" t="s">
        <v>16</v>
      </c>
      <c r="G10" s="290" t="s">
        <v>16</v>
      </c>
      <c r="H10" s="290" t="s">
        <v>16</v>
      </c>
      <c r="I10" s="290" t="s">
        <v>16</v>
      </c>
      <c r="J10" s="290" t="s">
        <v>16</v>
      </c>
      <c r="K10" s="290" t="s">
        <v>16</v>
      </c>
      <c r="L10" s="290">
        <v>119990</v>
      </c>
      <c r="M10" s="290" t="s">
        <v>16</v>
      </c>
      <c r="N10" s="290" t="s">
        <v>16</v>
      </c>
      <c r="O10" s="290" t="s">
        <v>16</v>
      </c>
      <c r="P10" s="290" t="s">
        <v>16</v>
      </c>
      <c r="Q10" s="290" t="s">
        <v>16</v>
      </c>
      <c r="R10" s="290" t="s">
        <v>16</v>
      </c>
      <c r="S10" s="290" t="s">
        <v>16</v>
      </c>
      <c r="T10" s="290" t="s">
        <v>16</v>
      </c>
      <c r="U10" s="290" t="s">
        <v>16</v>
      </c>
      <c r="V10" s="290" t="s">
        <v>16</v>
      </c>
      <c r="W10" s="290" t="s">
        <v>16</v>
      </c>
      <c r="X10" s="290" t="s">
        <v>16</v>
      </c>
    </row>
    <row r="11" spans="1:24" x14ac:dyDescent="0.2">
      <c r="A11" s="290" t="s">
        <v>15</v>
      </c>
      <c r="C11" s="290" t="s">
        <v>377</v>
      </c>
      <c r="D11" s="290">
        <v>59562</v>
      </c>
      <c r="E11" s="290" t="s">
        <v>16</v>
      </c>
      <c r="F11" s="290">
        <v>243</v>
      </c>
      <c r="G11" s="290">
        <v>113</v>
      </c>
      <c r="H11" s="290">
        <v>144</v>
      </c>
      <c r="I11" s="290">
        <v>12</v>
      </c>
      <c r="J11" s="290">
        <v>87</v>
      </c>
      <c r="K11" s="290">
        <v>472</v>
      </c>
      <c r="L11" s="290">
        <v>2142</v>
      </c>
      <c r="M11" s="290">
        <v>498</v>
      </c>
      <c r="N11" s="290">
        <v>494</v>
      </c>
      <c r="O11" s="290">
        <v>842</v>
      </c>
      <c r="P11" s="290">
        <v>940</v>
      </c>
      <c r="Q11" s="290">
        <v>1302</v>
      </c>
      <c r="R11" s="290">
        <v>829</v>
      </c>
      <c r="S11" s="290">
        <v>979</v>
      </c>
      <c r="T11" s="290">
        <v>564</v>
      </c>
      <c r="U11" s="290">
        <v>4147</v>
      </c>
      <c r="V11" s="290">
        <v>1628</v>
      </c>
      <c r="W11" s="290">
        <v>12384</v>
      </c>
      <c r="X11" s="290">
        <v>4584</v>
      </c>
    </row>
    <row r="13" spans="1:24" x14ac:dyDescent="0.2">
      <c r="A13" s="290" t="s">
        <v>842</v>
      </c>
      <c r="B13" s="290" t="s">
        <v>645</v>
      </c>
      <c r="C13" s="290" t="s">
        <v>813</v>
      </c>
      <c r="D13" s="290" t="s">
        <v>16</v>
      </c>
      <c r="E13" s="290" t="s">
        <v>16</v>
      </c>
      <c r="F13" s="290" t="s">
        <v>16</v>
      </c>
      <c r="G13" s="290" t="s">
        <v>16</v>
      </c>
      <c r="H13" s="290" t="s">
        <v>16</v>
      </c>
      <c r="I13" s="290" t="s">
        <v>16</v>
      </c>
      <c r="J13" s="290" t="s">
        <v>16</v>
      </c>
      <c r="K13" s="290" t="s">
        <v>16</v>
      </c>
      <c r="L13" s="290" t="s">
        <v>16</v>
      </c>
      <c r="M13" s="290" t="s">
        <v>16</v>
      </c>
      <c r="N13" s="290" t="s">
        <v>16</v>
      </c>
      <c r="O13" s="290" t="s">
        <v>16</v>
      </c>
      <c r="P13" s="290" t="s">
        <v>16</v>
      </c>
      <c r="Q13" s="290" t="s">
        <v>16</v>
      </c>
      <c r="R13" s="290" t="s">
        <v>16</v>
      </c>
      <c r="S13" s="290" t="s">
        <v>16</v>
      </c>
      <c r="T13" s="290" t="s">
        <v>16</v>
      </c>
      <c r="U13" s="290" t="s">
        <v>16</v>
      </c>
      <c r="V13" s="290" t="s">
        <v>16</v>
      </c>
      <c r="W13" s="290" t="s">
        <v>16</v>
      </c>
      <c r="X13" s="290" t="s">
        <v>16</v>
      </c>
    </row>
    <row r="14" spans="1:24" x14ac:dyDescent="0.2">
      <c r="A14" s="290" t="s">
        <v>821</v>
      </c>
      <c r="B14" s="290" t="s">
        <v>645</v>
      </c>
      <c r="C14" s="290" t="s">
        <v>386</v>
      </c>
      <c r="D14" s="290">
        <v>40</v>
      </c>
      <c r="E14" s="290">
        <v>44</v>
      </c>
      <c r="F14" s="290">
        <v>88</v>
      </c>
      <c r="G14" s="290">
        <v>45</v>
      </c>
      <c r="H14" s="290">
        <v>46</v>
      </c>
      <c r="I14" s="290">
        <v>22</v>
      </c>
      <c r="J14" s="290" t="s">
        <v>16</v>
      </c>
      <c r="K14" s="290" t="s">
        <v>16</v>
      </c>
      <c r="L14" s="290">
        <v>26929</v>
      </c>
      <c r="M14" s="290">
        <v>116271</v>
      </c>
      <c r="N14" s="290">
        <v>333204</v>
      </c>
      <c r="O14" s="290">
        <v>167011</v>
      </c>
      <c r="P14" s="290">
        <v>149366</v>
      </c>
      <c r="Q14" s="290">
        <v>22</v>
      </c>
      <c r="R14" s="290">
        <v>84</v>
      </c>
      <c r="S14" s="290">
        <v>85</v>
      </c>
      <c r="T14" s="290">
        <v>42</v>
      </c>
      <c r="U14" s="290">
        <v>85</v>
      </c>
      <c r="V14" s="290">
        <v>42</v>
      </c>
      <c r="W14" s="290">
        <v>137</v>
      </c>
      <c r="X14" s="290" t="s">
        <v>16</v>
      </c>
    </row>
    <row r="15" spans="1:24" x14ac:dyDescent="0.2">
      <c r="A15" s="290" t="s">
        <v>699</v>
      </c>
      <c r="B15" s="290" t="s">
        <v>645</v>
      </c>
      <c r="C15" s="290" t="s">
        <v>380</v>
      </c>
      <c r="D15" s="290">
        <v>368</v>
      </c>
      <c r="E15" s="290">
        <v>141</v>
      </c>
      <c r="F15" s="290">
        <v>356</v>
      </c>
      <c r="G15" s="290">
        <v>851</v>
      </c>
      <c r="H15" s="290">
        <v>205</v>
      </c>
      <c r="I15" s="290">
        <v>37819</v>
      </c>
      <c r="J15" s="290">
        <v>438</v>
      </c>
      <c r="K15" s="290">
        <v>30581</v>
      </c>
      <c r="L15" s="290">
        <v>76166</v>
      </c>
      <c r="M15" s="290">
        <v>47298</v>
      </c>
      <c r="N15" s="290">
        <v>2409</v>
      </c>
      <c r="O15" s="290">
        <v>214</v>
      </c>
      <c r="P15" s="290">
        <v>129</v>
      </c>
      <c r="Q15" s="290">
        <v>6343</v>
      </c>
      <c r="R15" s="290">
        <v>77997</v>
      </c>
      <c r="S15" s="290">
        <v>408</v>
      </c>
      <c r="T15" s="290">
        <v>411</v>
      </c>
      <c r="U15" s="290">
        <v>307</v>
      </c>
      <c r="V15" s="290">
        <v>32016</v>
      </c>
      <c r="W15" s="290">
        <v>806</v>
      </c>
      <c r="X15" s="290">
        <v>320</v>
      </c>
    </row>
    <row r="16" spans="1:24" x14ac:dyDescent="0.2">
      <c r="A16" s="290" t="s">
        <v>698</v>
      </c>
      <c r="B16" s="290" t="s">
        <v>645</v>
      </c>
      <c r="C16" s="290" t="s">
        <v>812</v>
      </c>
      <c r="D16" s="290" t="s">
        <v>16</v>
      </c>
      <c r="E16" s="290" t="s">
        <v>16</v>
      </c>
      <c r="F16" s="290" t="s">
        <v>16</v>
      </c>
      <c r="G16" s="290" t="s">
        <v>16</v>
      </c>
      <c r="H16" s="290" t="s">
        <v>16</v>
      </c>
      <c r="I16" s="290" t="s">
        <v>16</v>
      </c>
      <c r="J16" s="290" t="s">
        <v>16</v>
      </c>
      <c r="K16" s="290" t="s">
        <v>16</v>
      </c>
      <c r="L16" s="290" t="s">
        <v>16</v>
      </c>
      <c r="M16" s="290" t="s">
        <v>16</v>
      </c>
      <c r="N16" s="290" t="s">
        <v>16</v>
      </c>
      <c r="O16" s="290" t="s">
        <v>16</v>
      </c>
      <c r="P16" s="290" t="s">
        <v>16</v>
      </c>
      <c r="Q16" s="290" t="s">
        <v>16</v>
      </c>
      <c r="R16" s="290" t="s">
        <v>16</v>
      </c>
      <c r="S16" s="290">
        <v>88</v>
      </c>
      <c r="T16" s="290" t="s">
        <v>16</v>
      </c>
      <c r="U16" s="290" t="s">
        <v>16</v>
      </c>
      <c r="V16" s="290" t="s">
        <v>16</v>
      </c>
      <c r="W16" s="290" t="s">
        <v>16</v>
      </c>
      <c r="X16" s="290" t="s">
        <v>16</v>
      </c>
    </row>
    <row r="17" spans="1:24" x14ac:dyDescent="0.2">
      <c r="A17" s="290" t="s">
        <v>697</v>
      </c>
      <c r="B17" s="290" t="s">
        <v>645</v>
      </c>
      <c r="C17" s="290" t="s">
        <v>381</v>
      </c>
      <c r="D17" s="290" t="s">
        <v>16</v>
      </c>
      <c r="E17" s="290" t="s">
        <v>16</v>
      </c>
      <c r="F17" s="290" t="s">
        <v>16</v>
      </c>
      <c r="G17" s="290" t="s">
        <v>16</v>
      </c>
      <c r="H17" s="290" t="s">
        <v>16</v>
      </c>
      <c r="I17" s="290">
        <v>23</v>
      </c>
      <c r="J17" s="290">
        <v>44</v>
      </c>
      <c r="K17" s="290" t="s">
        <v>16</v>
      </c>
      <c r="L17" s="290">
        <v>330</v>
      </c>
      <c r="M17" s="290">
        <v>798272</v>
      </c>
      <c r="N17" s="290">
        <v>173086</v>
      </c>
      <c r="O17" s="290">
        <v>560404</v>
      </c>
      <c r="P17" s="290">
        <v>349222</v>
      </c>
      <c r="Q17" s="290">
        <v>184783</v>
      </c>
      <c r="R17" s="290">
        <v>553</v>
      </c>
      <c r="S17" s="290">
        <v>17650</v>
      </c>
      <c r="T17" s="290">
        <v>173263</v>
      </c>
      <c r="U17" s="290">
        <v>368541</v>
      </c>
      <c r="V17" s="290">
        <v>1619</v>
      </c>
      <c r="W17" s="290">
        <v>393</v>
      </c>
      <c r="X17" s="290">
        <v>839</v>
      </c>
    </row>
    <row r="18" spans="1:24" x14ac:dyDescent="0.2">
      <c r="A18" s="290" t="s">
        <v>690</v>
      </c>
      <c r="B18" s="290" t="s">
        <v>645</v>
      </c>
      <c r="C18" s="290" t="s">
        <v>811</v>
      </c>
      <c r="D18" s="290" t="s">
        <v>16</v>
      </c>
      <c r="E18" s="290" t="s">
        <v>16</v>
      </c>
      <c r="F18" s="290" t="s">
        <v>16</v>
      </c>
      <c r="G18" s="290" t="s">
        <v>16</v>
      </c>
      <c r="H18" s="290" t="s">
        <v>16</v>
      </c>
      <c r="I18" s="290" t="s">
        <v>16</v>
      </c>
      <c r="J18" s="290" t="s">
        <v>16</v>
      </c>
      <c r="K18" s="290" t="s">
        <v>16</v>
      </c>
      <c r="L18" s="290" t="s">
        <v>16</v>
      </c>
      <c r="M18" s="290" t="s">
        <v>16</v>
      </c>
      <c r="N18" s="290" t="s">
        <v>16</v>
      </c>
      <c r="O18" s="290" t="s">
        <v>16</v>
      </c>
      <c r="P18" s="290" t="s">
        <v>16</v>
      </c>
      <c r="Q18" s="290" t="s">
        <v>16</v>
      </c>
      <c r="R18" s="290" t="s">
        <v>16</v>
      </c>
      <c r="S18" s="290" t="s">
        <v>16</v>
      </c>
      <c r="T18" s="290" t="s">
        <v>16</v>
      </c>
      <c r="U18" s="290" t="s">
        <v>16</v>
      </c>
      <c r="V18" s="290" t="s">
        <v>16</v>
      </c>
      <c r="W18" s="290" t="s">
        <v>16</v>
      </c>
      <c r="X18" s="290">
        <v>6</v>
      </c>
    </row>
    <row r="19" spans="1:24" x14ac:dyDescent="0.2">
      <c r="A19" s="290" t="s">
        <v>684</v>
      </c>
      <c r="B19" s="290" t="s">
        <v>645</v>
      </c>
      <c r="C19" s="290" t="s">
        <v>810</v>
      </c>
      <c r="D19" s="290">
        <v>578</v>
      </c>
      <c r="E19" s="290">
        <v>762</v>
      </c>
      <c r="F19" s="290">
        <v>252</v>
      </c>
      <c r="G19" s="290" t="s">
        <v>16</v>
      </c>
      <c r="H19" s="290" t="s">
        <v>16</v>
      </c>
      <c r="I19" s="290" t="s">
        <v>16</v>
      </c>
      <c r="J19" s="290" t="s">
        <v>16</v>
      </c>
      <c r="K19" s="290" t="s">
        <v>16</v>
      </c>
      <c r="L19" s="290" t="s">
        <v>16</v>
      </c>
      <c r="M19" s="290" t="s">
        <v>16</v>
      </c>
      <c r="N19" s="290" t="s">
        <v>16</v>
      </c>
      <c r="O19" s="290" t="s">
        <v>16</v>
      </c>
      <c r="P19" s="290" t="s">
        <v>16</v>
      </c>
      <c r="Q19" s="290" t="s">
        <v>16</v>
      </c>
      <c r="R19" s="290" t="s">
        <v>16</v>
      </c>
      <c r="S19" s="290" t="s">
        <v>16</v>
      </c>
      <c r="T19" s="290" t="s">
        <v>16</v>
      </c>
      <c r="U19" s="290" t="s">
        <v>16</v>
      </c>
      <c r="V19" s="290" t="s">
        <v>16</v>
      </c>
      <c r="W19" s="290" t="s">
        <v>16</v>
      </c>
      <c r="X19" s="290" t="s">
        <v>16</v>
      </c>
    </row>
    <row r="20" spans="1:24" x14ac:dyDescent="0.2">
      <c r="A20" s="290" t="s">
        <v>683</v>
      </c>
      <c r="B20" s="290" t="s">
        <v>645</v>
      </c>
      <c r="C20" s="290" t="s">
        <v>382</v>
      </c>
      <c r="D20" s="290" t="s">
        <v>16</v>
      </c>
      <c r="E20" s="290">
        <v>535</v>
      </c>
      <c r="F20" s="290" t="s">
        <v>16</v>
      </c>
      <c r="G20" s="290" t="s">
        <v>16</v>
      </c>
      <c r="H20" s="290" t="s">
        <v>16</v>
      </c>
      <c r="I20" s="290" t="s">
        <v>16</v>
      </c>
      <c r="J20" s="290" t="s">
        <v>16</v>
      </c>
      <c r="K20" s="290" t="s">
        <v>16</v>
      </c>
      <c r="L20" s="290" t="s">
        <v>16</v>
      </c>
      <c r="M20" s="290" t="s">
        <v>16</v>
      </c>
      <c r="N20" s="290">
        <v>22</v>
      </c>
      <c r="O20" s="290" t="s">
        <v>16</v>
      </c>
      <c r="P20" s="290" t="s">
        <v>16</v>
      </c>
      <c r="Q20" s="290">
        <v>20</v>
      </c>
      <c r="R20" s="290">
        <v>120</v>
      </c>
      <c r="S20" s="290">
        <v>132</v>
      </c>
      <c r="T20" s="290">
        <v>396</v>
      </c>
      <c r="U20" s="290">
        <v>451</v>
      </c>
      <c r="V20" s="290">
        <v>195</v>
      </c>
      <c r="W20" s="290">
        <v>237</v>
      </c>
      <c r="X20" s="290">
        <v>88</v>
      </c>
    </row>
    <row r="21" spans="1:24" x14ac:dyDescent="0.2">
      <c r="A21" s="290" t="s">
        <v>678</v>
      </c>
      <c r="B21" s="290" t="s">
        <v>645</v>
      </c>
      <c r="C21" s="290" t="s">
        <v>383</v>
      </c>
      <c r="D21" s="290">
        <v>147</v>
      </c>
      <c r="E21" s="290">
        <v>49</v>
      </c>
      <c r="F21" s="290">
        <v>47</v>
      </c>
      <c r="G21" s="290">
        <v>282</v>
      </c>
      <c r="H21" s="290" t="s">
        <v>16</v>
      </c>
      <c r="I21" s="290" t="s">
        <v>16</v>
      </c>
      <c r="J21" s="290" t="s">
        <v>16</v>
      </c>
      <c r="K21" s="290" t="s">
        <v>16</v>
      </c>
      <c r="L21" s="290">
        <v>2733</v>
      </c>
      <c r="M21" s="290" t="s">
        <v>16</v>
      </c>
      <c r="N21" s="290">
        <v>14920</v>
      </c>
      <c r="O21" s="290">
        <v>20</v>
      </c>
      <c r="P21" s="290">
        <v>181376</v>
      </c>
      <c r="Q21" s="290">
        <v>329083</v>
      </c>
      <c r="R21" s="290">
        <v>787510</v>
      </c>
      <c r="S21" s="290">
        <v>76974</v>
      </c>
      <c r="T21" s="290">
        <v>140204</v>
      </c>
      <c r="U21" s="290">
        <v>299394</v>
      </c>
      <c r="V21" s="290">
        <v>213009</v>
      </c>
      <c r="W21" s="290">
        <v>603109</v>
      </c>
      <c r="X21" s="290">
        <v>1249520</v>
      </c>
    </row>
    <row r="22" spans="1:24" x14ac:dyDescent="0.2">
      <c r="A22" s="290" t="s">
        <v>835</v>
      </c>
      <c r="B22" s="290" t="s">
        <v>645</v>
      </c>
      <c r="C22" s="290" t="s">
        <v>809</v>
      </c>
      <c r="D22" s="290" t="s">
        <v>16</v>
      </c>
      <c r="E22" s="290">
        <v>651</v>
      </c>
      <c r="F22" s="290">
        <v>1317</v>
      </c>
      <c r="G22" s="290">
        <v>962</v>
      </c>
      <c r="H22" s="290">
        <v>3560</v>
      </c>
      <c r="I22" s="290" t="s">
        <v>16</v>
      </c>
      <c r="J22" s="290">
        <v>417</v>
      </c>
      <c r="K22" s="290" t="s">
        <v>16</v>
      </c>
      <c r="L22" s="290" t="s">
        <v>16</v>
      </c>
      <c r="M22" s="290" t="s">
        <v>16</v>
      </c>
      <c r="N22" s="290" t="s">
        <v>16</v>
      </c>
      <c r="O22" s="290" t="s">
        <v>16</v>
      </c>
      <c r="P22" s="290" t="s">
        <v>16</v>
      </c>
      <c r="Q22" s="290" t="s">
        <v>16</v>
      </c>
      <c r="R22" s="290" t="s">
        <v>16</v>
      </c>
      <c r="S22" s="290" t="s">
        <v>16</v>
      </c>
      <c r="T22" s="290" t="s">
        <v>16</v>
      </c>
      <c r="U22" s="290" t="s">
        <v>16</v>
      </c>
      <c r="V22" s="290" t="s">
        <v>16</v>
      </c>
      <c r="W22" s="290" t="s">
        <v>16</v>
      </c>
      <c r="X22" s="290" t="s">
        <v>16</v>
      </c>
    </row>
    <row r="23" spans="1:24" x14ac:dyDescent="0.2">
      <c r="A23" s="290" t="s">
        <v>672</v>
      </c>
      <c r="B23" s="290" t="s">
        <v>645</v>
      </c>
      <c r="C23" s="290" t="s">
        <v>808</v>
      </c>
      <c r="D23" s="290" t="s">
        <v>16</v>
      </c>
      <c r="E23" s="290" t="s">
        <v>16</v>
      </c>
      <c r="F23" s="290" t="s">
        <v>16</v>
      </c>
      <c r="G23" s="290" t="s">
        <v>16</v>
      </c>
      <c r="H23" s="290" t="s">
        <v>16</v>
      </c>
      <c r="I23" s="290" t="s">
        <v>16</v>
      </c>
      <c r="J23" s="290" t="s">
        <v>16</v>
      </c>
      <c r="K23" s="290" t="s">
        <v>16</v>
      </c>
      <c r="L23" s="290" t="s">
        <v>16</v>
      </c>
      <c r="M23" s="290" t="s">
        <v>16</v>
      </c>
      <c r="N23" s="290" t="s">
        <v>16</v>
      </c>
      <c r="O23" s="290" t="s">
        <v>16</v>
      </c>
      <c r="P23" s="290" t="s">
        <v>16</v>
      </c>
      <c r="Q23" s="290" t="s">
        <v>16</v>
      </c>
      <c r="R23" s="290">
        <v>126</v>
      </c>
      <c r="S23" s="290" t="s">
        <v>16</v>
      </c>
      <c r="T23" s="290" t="s">
        <v>16</v>
      </c>
      <c r="U23" s="290" t="s">
        <v>16</v>
      </c>
      <c r="V23" s="290" t="s">
        <v>16</v>
      </c>
      <c r="W23" s="290" t="s">
        <v>16</v>
      </c>
      <c r="X23" s="290">
        <v>101</v>
      </c>
    </row>
    <row r="24" spans="1:24" x14ac:dyDescent="0.2">
      <c r="A24" s="290" t="s">
        <v>667</v>
      </c>
      <c r="B24" s="290" t="s">
        <v>645</v>
      </c>
      <c r="C24" s="290" t="s">
        <v>379</v>
      </c>
      <c r="D24" s="290" t="s">
        <v>16</v>
      </c>
      <c r="E24" s="290" t="s">
        <v>16</v>
      </c>
      <c r="F24" s="290" t="s">
        <v>16</v>
      </c>
      <c r="G24" s="290" t="s">
        <v>16</v>
      </c>
      <c r="H24" s="290" t="s">
        <v>16</v>
      </c>
      <c r="I24" s="290" t="s">
        <v>16</v>
      </c>
      <c r="J24" s="290" t="s">
        <v>16</v>
      </c>
      <c r="K24" s="290" t="s">
        <v>16</v>
      </c>
      <c r="L24" s="290" t="s">
        <v>16</v>
      </c>
      <c r="M24" s="290" t="s">
        <v>16</v>
      </c>
      <c r="N24" s="290" t="s">
        <v>16</v>
      </c>
      <c r="O24" s="290" t="s">
        <v>16</v>
      </c>
      <c r="P24" s="290" t="s">
        <v>16</v>
      </c>
      <c r="Q24" s="290" t="s">
        <v>16</v>
      </c>
      <c r="R24" s="290" t="s">
        <v>16</v>
      </c>
      <c r="S24" s="290" t="s">
        <v>16</v>
      </c>
      <c r="T24" s="290" t="s">
        <v>16</v>
      </c>
      <c r="U24" s="290">
        <v>22</v>
      </c>
      <c r="V24" s="290" t="s">
        <v>16</v>
      </c>
      <c r="W24" s="290" t="s">
        <v>16</v>
      </c>
      <c r="X24" s="290" t="s">
        <v>16</v>
      </c>
    </row>
    <row r="25" spans="1:24" x14ac:dyDescent="0.2">
      <c r="A25" s="290" t="s">
        <v>662</v>
      </c>
      <c r="B25" s="290" t="s">
        <v>645</v>
      </c>
      <c r="C25" s="290" t="s">
        <v>807</v>
      </c>
      <c r="D25" s="290" t="s">
        <v>16</v>
      </c>
      <c r="E25" s="290" t="s">
        <v>16</v>
      </c>
      <c r="F25" s="290" t="s">
        <v>16</v>
      </c>
      <c r="G25" s="290" t="s">
        <v>16</v>
      </c>
      <c r="H25" s="290" t="s">
        <v>16</v>
      </c>
      <c r="I25" s="290" t="s">
        <v>16</v>
      </c>
      <c r="J25" s="290" t="s">
        <v>16</v>
      </c>
      <c r="K25" s="290" t="s">
        <v>16</v>
      </c>
      <c r="L25" s="290" t="s">
        <v>16</v>
      </c>
      <c r="M25" s="290" t="s">
        <v>16</v>
      </c>
      <c r="N25" s="290" t="s">
        <v>16</v>
      </c>
      <c r="O25" s="290" t="s">
        <v>16</v>
      </c>
      <c r="P25" s="290" t="s">
        <v>16</v>
      </c>
      <c r="Q25" s="290" t="s">
        <v>16</v>
      </c>
      <c r="R25" s="290" t="s">
        <v>16</v>
      </c>
      <c r="S25" s="290" t="s">
        <v>16</v>
      </c>
      <c r="T25" s="290" t="s">
        <v>16</v>
      </c>
      <c r="U25" s="290" t="s">
        <v>16</v>
      </c>
      <c r="V25" s="290" t="s">
        <v>16</v>
      </c>
      <c r="W25" s="290" t="s">
        <v>16</v>
      </c>
      <c r="X25" s="290">
        <v>43</v>
      </c>
    </row>
    <row r="26" spans="1:24" x14ac:dyDescent="0.2">
      <c r="A26" s="290" t="s">
        <v>661</v>
      </c>
      <c r="B26" s="290" t="s">
        <v>645</v>
      </c>
      <c r="C26" s="290" t="s">
        <v>806</v>
      </c>
      <c r="D26" s="290">
        <v>110</v>
      </c>
      <c r="E26" s="290" t="s">
        <v>16</v>
      </c>
      <c r="F26" s="290" t="s">
        <v>16</v>
      </c>
      <c r="G26" s="290" t="s">
        <v>16</v>
      </c>
      <c r="H26" s="290" t="s">
        <v>16</v>
      </c>
      <c r="I26" s="290" t="s">
        <v>16</v>
      </c>
      <c r="J26" s="290" t="s">
        <v>16</v>
      </c>
      <c r="K26" s="290" t="s">
        <v>16</v>
      </c>
      <c r="L26" s="290" t="s">
        <v>16</v>
      </c>
      <c r="M26" s="290" t="s">
        <v>16</v>
      </c>
      <c r="N26" s="290" t="s">
        <v>16</v>
      </c>
      <c r="O26" s="290" t="s">
        <v>16</v>
      </c>
      <c r="P26" s="290">
        <v>2</v>
      </c>
      <c r="Q26" s="290">
        <v>180616</v>
      </c>
      <c r="R26" s="290" t="s">
        <v>16</v>
      </c>
      <c r="S26" s="290">
        <v>12</v>
      </c>
      <c r="T26" s="290" t="s">
        <v>16</v>
      </c>
      <c r="U26" s="290" t="s">
        <v>16</v>
      </c>
      <c r="V26" s="290" t="s">
        <v>16</v>
      </c>
      <c r="W26" s="290" t="s">
        <v>16</v>
      </c>
      <c r="X26" s="290" t="s">
        <v>16</v>
      </c>
    </row>
    <row r="27" spans="1:24" x14ac:dyDescent="0.2">
      <c r="A27" s="290" t="s">
        <v>658</v>
      </c>
      <c r="B27" s="290" t="s">
        <v>645</v>
      </c>
      <c r="C27" s="290" t="s">
        <v>388</v>
      </c>
      <c r="D27" s="290" t="s">
        <v>16</v>
      </c>
      <c r="E27" s="290">
        <v>2289</v>
      </c>
      <c r="F27" s="290">
        <v>1084</v>
      </c>
      <c r="G27" s="290">
        <v>2039</v>
      </c>
      <c r="H27" s="290">
        <v>214</v>
      </c>
      <c r="I27" s="290">
        <v>200</v>
      </c>
      <c r="J27" s="290" t="s">
        <v>16</v>
      </c>
      <c r="K27" s="290" t="s">
        <v>16</v>
      </c>
      <c r="L27" s="290">
        <v>139028</v>
      </c>
      <c r="M27" s="290">
        <v>2538363</v>
      </c>
      <c r="N27" s="290">
        <v>4340020</v>
      </c>
      <c r="O27" s="290">
        <v>3768597</v>
      </c>
      <c r="P27" s="290">
        <v>3446091</v>
      </c>
      <c r="Q27" s="290">
        <v>3566905</v>
      </c>
      <c r="R27" s="290">
        <v>3169950</v>
      </c>
      <c r="S27" s="290">
        <v>915472</v>
      </c>
      <c r="T27" s="290">
        <v>5349313</v>
      </c>
      <c r="U27" s="290">
        <v>5959164</v>
      </c>
      <c r="V27" s="290">
        <v>4559695</v>
      </c>
      <c r="W27" s="290">
        <v>4110815</v>
      </c>
      <c r="X27" s="290">
        <v>5253518</v>
      </c>
    </row>
    <row r="28" spans="1:24" x14ac:dyDescent="0.2">
      <c r="A28" s="290" t="s">
        <v>657</v>
      </c>
      <c r="B28" s="290" t="s">
        <v>645</v>
      </c>
      <c r="C28" s="290" t="s">
        <v>805</v>
      </c>
      <c r="D28" s="290" t="s">
        <v>16</v>
      </c>
      <c r="E28" s="290" t="s">
        <v>16</v>
      </c>
      <c r="F28" s="290" t="s">
        <v>16</v>
      </c>
      <c r="G28" s="290" t="s">
        <v>16</v>
      </c>
      <c r="H28" s="290" t="s">
        <v>16</v>
      </c>
      <c r="I28" s="290" t="s">
        <v>16</v>
      </c>
      <c r="J28" s="290" t="s">
        <v>16</v>
      </c>
      <c r="K28" s="290" t="s">
        <v>16</v>
      </c>
      <c r="L28" s="290" t="s">
        <v>16</v>
      </c>
      <c r="M28" s="290" t="s">
        <v>16</v>
      </c>
      <c r="N28" s="290" t="s">
        <v>16</v>
      </c>
      <c r="O28" s="290" t="s">
        <v>16</v>
      </c>
      <c r="P28" s="290">
        <v>28</v>
      </c>
      <c r="Q28" s="290" t="s">
        <v>16</v>
      </c>
      <c r="R28" s="290" t="s">
        <v>16</v>
      </c>
      <c r="S28" s="290" t="s">
        <v>16</v>
      </c>
      <c r="T28" s="290" t="s">
        <v>16</v>
      </c>
      <c r="U28" s="290" t="s">
        <v>16</v>
      </c>
      <c r="V28" s="290" t="s">
        <v>16</v>
      </c>
      <c r="W28" s="290" t="s">
        <v>16</v>
      </c>
      <c r="X28" s="290" t="s">
        <v>16</v>
      </c>
    </row>
    <row r="29" spans="1:24" x14ac:dyDescent="0.2">
      <c r="A29" s="290" t="s">
        <v>734</v>
      </c>
      <c r="B29" s="290" t="s">
        <v>645</v>
      </c>
      <c r="C29" s="290" t="s">
        <v>804</v>
      </c>
      <c r="D29" s="290" t="s">
        <v>16</v>
      </c>
      <c r="E29" s="290">
        <v>294</v>
      </c>
      <c r="F29" s="290" t="s">
        <v>16</v>
      </c>
      <c r="G29" s="290" t="s">
        <v>16</v>
      </c>
      <c r="H29" s="290" t="s">
        <v>16</v>
      </c>
      <c r="I29" s="290" t="s">
        <v>16</v>
      </c>
      <c r="J29" s="290" t="s">
        <v>16</v>
      </c>
      <c r="K29" s="290" t="s">
        <v>16</v>
      </c>
      <c r="L29" s="290">
        <v>84</v>
      </c>
      <c r="M29" s="290" t="s">
        <v>16</v>
      </c>
      <c r="N29" s="290" t="s">
        <v>16</v>
      </c>
      <c r="O29" s="290">
        <v>250076</v>
      </c>
      <c r="P29" s="290">
        <v>376503</v>
      </c>
      <c r="Q29" s="290">
        <v>99789</v>
      </c>
      <c r="R29" s="290" t="s">
        <v>16</v>
      </c>
      <c r="S29" s="290">
        <v>98074</v>
      </c>
      <c r="T29" s="290">
        <v>329088</v>
      </c>
      <c r="U29" s="290" t="s">
        <v>16</v>
      </c>
      <c r="V29" s="290" t="s">
        <v>16</v>
      </c>
      <c r="W29" s="290" t="s">
        <v>16</v>
      </c>
      <c r="X29" s="290" t="s">
        <v>16</v>
      </c>
    </row>
    <row r="30" spans="1:24" x14ac:dyDescent="0.2">
      <c r="A30" s="290" t="s">
        <v>654</v>
      </c>
      <c r="B30" s="290" t="s">
        <v>645</v>
      </c>
      <c r="C30" s="290" t="s">
        <v>384</v>
      </c>
      <c r="D30" s="290">
        <v>133</v>
      </c>
      <c r="E30" s="290">
        <v>58</v>
      </c>
      <c r="F30" s="290">
        <v>38</v>
      </c>
      <c r="G30" s="290">
        <v>604</v>
      </c>
      <c r="H30" s="290">
        <v>142</v>
      </c>
      <c r="I30" s="290" t="s">
        <v>16</v>
      </c>
      <c r="J30" s="290" t="s">
        <v>16</v>
      </c>
      <c r="K30" s="290" t="s">
        <v>16</v>
      </c>
      <c r="L30" s="290" t="s">
        <v>16</v>
      </c>
      <c r="M30" s="290" t="s">
        <v>16</v>
      </c>
      <c r="N30" s="290" t="s">
        <v>16</v>
      </c>
      <c r="O30" s="290">
        <v>638</v>
      </c>
      <c r="P30" s="290">
        <v>86</v>
      </c>
      <c r="Q30" s="290">
        <v>366</v>
      </c>
      <c r="R30" s="290">
        <v>384</v>
      </c>
      <c r="S30" s="290">
        <v>572</v>
      </c>
      <c r="T30" s="290">
        <v>617</v>
      </c>
      <c r="U30" s="290">
        <v>526</v>
      </c>
      <c r="V30" s="290">
        <v>317</v>
      </c>
      <c r="W30" s="290">
        <v>350</v>
      </c>
      <c r="X30" s="290">
        <v>372</v>
      </c>
    </row>
    <row r="31" spans="1:24" x14ac:dyDescent="0.2">
      <c r="A31" s="290" t="s">
        <v>646</v>
      </c>
      <c r="B31" s="290" t="s">
        <v>645</v>
      </c>
      <c r="C31" s="290" t="s">
        <v>385</v>
      </c>
      <c r="D31" s="290" t="s">
        <v>16</v>
      </c>
      <c r="E31" s="290" t="s">
        <v>16</v>
      </c>
      <c r="F31" s="290" t="s">
        <v>16</v>
      </c>
      <c r="G31" s="290" t="s">
        <v>16</v>
      </c>
      <c r="H31" s="290" t="s">
        <v>16</v>
      </c>
      <c r="I31" s="290" t="s">
        <v>16</v>
      </c>
      <c r="J31" s="290" t="s">
        <v>16</v>
      </c>
      <c r="K31" s="290" t="s">
        <v>16</v>
      </c>
      <c r="L31" s="290" t="s">
        <v>16</v>
      </c>
      <c r="M31" s="290" t="s">
        <v>16</v>
      </c>
      <c r="N31" s="290" t="s">
        <v>16</v>
      </c>
      <c r="O31" s="290" t="s">
        <v>16</v>
      </c>
      <c r="P31" s="290" t="s">
        <v>16</v>
      </c>
      <c r="Q31" s="290" t="s">
        <v>16</v>
      </c>
      <c r="R31" s="290" t="s">
        <v>16</v>
      </c>
      <c r="S31" s="290">
        <v>84</v>
      </c>
      <c r="T31" s="290" t="s">
        <v>16</v>
      </c>
      <c r="U31" s="290">
        <v>155</v>
      </c>
      <c r="V31" s="290">
        <v>78</v>
      </c>
      <c r="W31" s="290">
        <v>78</v>
      </c>
      <c r="X31" s="290" t="s">
        <v>16</v>
      </c>
    </row>
  </sheetData>
  <sortState xmlns:xlrd2="http://schemas.microsoft.com/office/spreadsheetml/2017/richdata2" ref="A13:X31">
    <sortCondition ref="B13:B31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8E7EB-9017-42CC-89DF-537409EAB919}">
  <sheetPr>
    <tabColor rgb="FF92D050"/>
  </sheetPr>
  <dimension ref="A1:X97"/>
  <sheetViews>
    <sheetView topLeftCell="A62" workbookViewId="0">
      <selection activeCell="X13" activeCellId="1" sqref="A13:A97 X13:X97"/>
    </sheetView>
  </sheetViews>
  <sheetFormatPr baseColWidth="10" defaultColWidth="9" defaultRowHeight="14" x14ac:dyDescent="0.2"/>
  <cols>
    <col min="1" max="16384" width="9" style="290"/>
  </cols>
  <sheetData>
    <row r="1" spans="1:24" x14ac:dyDescent="0.2">
      <c r="A1" s="290" t="s">
        <v>338</v>
      </c>
    </row>
    <row r="2" spans="1:24" x14ac:dyDescent="0.2">
      <c r="A2" s="290" t="s">
        <v>803</v>
      </c>
    </row>
    <row r="3" spans="1:24" x14ac:dyDescent="0.2">
      <c r="A3" s="290" t="s">
        <v>802</v>
      </c>
    </row>
    <row r="4" spans="1:24" x14ac:dyDescent="0.2">
      <c r="A4" s="290" t="s">
        <v>3</v>
      </c>
    </row>
    <row r="5" spans="1:24" x14ac:dyDescent="0.2">
      <c r="A5" s="290" t="s">
        <v>4</v>
      </c>
      <c r="C5" s="290" t="s">
        <v>6</v>
      </c>
      <c r="D5" s="290">
        <v>2001</v>
      </c>
      <c r="E5" s="290">
        <v>2002</v>
      </c>
      <c r="F5" s="290">
        <v>2003</v>
      </c>
      <c r="G5" s="290">
        <v>2004</v>
      </c>
      <c r="H5" s="290">
        <v>2005</v>
      </c>
      <c r="I5" s="290">
        <v>2006</v>
      </c>
      <c r="J5" s="290">
        <v>2007</v>
      </c>
      <c r="K5" s="290">
        <v>2008</v>
      </c>
      <c r="L5" s="290">
        <v>2009</v>
      </c>
      <c r="M5" s="290">
        <v>2010</v>
      </c>
      <c r="N5" s="290">
        <v>2011</v>
      </c>
      <c r="O5" s="290">
        <v>2012</v>
      </c>
      <c r="P5" s="290">
        <v>2013</v>
      </c>
      <c r="Q5" s="290">
        <v>2014</v>
      </c>
      <c r="R5" s="290">
        <v>2015</v>
      </c>
      <c r="S5" s="290">
        <v>2016</v>
      </c>
      <c r="T5" s="290">
        <v>2017</v>
      </c>
      <c r="U5" s="290">
        <v>2018</v>
      </c>
      <c r="V5" s="290">
        <v>2019</v>
      </c>
      <c r="W5" s="290">
        <v>2020</v>
      </c>
      <c r="X5" s="290">
        <v>2021</v>
      </c>
    </row>
    <row r="6" spans="1:24" x14ac:dyDescent="0.2">
      <c r="A6" s="290" t="s">
        <v>338</v>
      </c>
    </row>
    <row r="7" spans="1:24" x14ac:dyDescent="0.2">
      <c r="A7" s="290" t="s">
        <v>8</v>
      </c>
      <c r="C7" s="290" t="s">
        <v>9</v>
      </c>
    </row>
    <row r="8" spans="1:24" x14ac:dyDescent="0.2">
      <c r="A8" s="290" t="s">
        <v>10</v>
      </c>
      <c r="C8" s="290" t="s">
        <v>341</v>
      </c>
      <c r="D8" s="290">
        <v>87481</v>
      </c>
      <c r="E8" s="290">
        <v>135534</v>
      </c>
      <c r="F8" s="290">
        <v>91552</v>
      </c>
      <c r="G8" s="290">
        <v>170254</v>
      </c>
      <c r="H8" s="290">
        <v>138942</v>
      </c>
      <c r="I8" s="290">
        <v>179797</v>
      </c>
      <c r="J8" s="290">
        <v>220387</v>
      </c>
      <c r="K8" s="290">
        <v>246401</v>
      </c>
      <c r="L8" s="290">
        <v>203790</v>
      </c>
      <c r="M8" s="290">
        <v>134730</v>
      </c>
      <c r="N8" s="290">
        <v>545983</v>
      </c>
      <c r="O8" s="290">
        <v>2509134</v>
      </c>
      <c r="P8" s="290">
        <v>3256746</v>
      </c>
      <c r="Q8" s="290">
        <v>2125800</v>
      </c>
      <c r="R8" s="290">
        <v>535260</v>
      </c>
      <c r="S8" s="290">
        <v>56878</v>
      </c>
      <c r="T8" s="290">
        <v>399920</v>
      </c>
      <c r="U8" s="290">
        <v>907459</v>
      </c>
      <c r="V8" s="290">
        <v>617821</v>
      </c>
      <c r="W8" s="290">
        <v>113688</v>
      </c>
      <c r="X8" s="290">
        <v>718663</v>
      </c>
    </row>
    <row r="9" spans="1:24" x14ac:dyDescent="0.2">
      <c r="A9" s="290" t="s">
        <v>12</v>
      </c>
      <c r="C9" s="290" t="s">
        <v>342</v>
      </c>
      <c r="D9" s="290">
        <v>87481</v>
      </c>
      <c r="E9" s="290">
        <v>135534</v>
      </c>
      <c r="F9" s="290">
        <v>91552</v>
      </c>
      <c r="G9" s="290">
        <v>170254</v>
      </c>
      <c r="H9" s="290">
        <v>138942</v>
      </c>
      <c r="I9" s="290">
        <v>179797</v>
      </c>
      <c r="J9" s="290">
        <v>220387</v>
      </c>
      <c r="K9" s="290">
        <v>246401</v>
      </c>
      <c r="L9" s="290">
        <v>203790</v>
      </c>
      <c r="M9" s="290">
        <v>134730</v>
      </c>
      <c r="N9" s="290">
        <v>127512</v>
      </c>
      <c r="O9" s="290">
        <v>2018095</v>
      </c>
      <c r="P9" s="290">
        <v>3256746</v>
      </c>
      <c r="Q9" s="290">
        <v>1281617</v>
      </c>
      <c r="R9" s="290">
        <v>535251</v>
      </c>
      <c r="S9" s="290">
        <v>56878</v>
      </c>
      <c r="T9" s="290">
        <v>399920</v>
      </c>
      <c r="U9" s="290">
        <v>907374</v>
      </c>
      <c r="V9" s="290">
        <v>617821</v>
      </c>
      <c r="W9" s="290">
        <v>112693</v>
      </c>
      <c r="X9" s="290">
        <v>647982</v>
      </c>
    </row>
    <row r="10" spans="1:24" x14ac:dyDescent="0.2">
      <c r="A10" s="290" t="s">
        <v>14</v>
      </c>
      <c r="C10" s="290" t="s">
        <v>343</v>
      </c>
      <c r="D10" s="290" t="s">
        <v>16</v>
      </c>
      <c r="E10" s="290" t="s">
        <v>16</v>
      </c>
      <c r="F10" s="290" t="s">
        <v>16</v>
      </c>
      <c r="G10" s="290" t="s">
        <v>16</v>
      </c>
      <c r="H10" s="290" t="s">
        <v>16</v>
      </c>
      <c r="I10" s="290" t="s">
        <v>16</v>
      </c>
      <c r="J10" s="290" t="s">
        <v>16</v>
      </c>
      <c r="K10" s="290" t="s">
        <v>16</v>
      </c>
      <c r="L10" s="290" t="s">
        <v>16</v>
      </c>
      <c r="M10" s="290" t="s">
        <v>16</v>
      </c>
      <c r="N10" s="290">
        <v>418471</v>
      </c>
      <c r="O10" s="290">
        <v>491039</v>
      </c>
      <c r="P10" s="290" t="s">
        <v>16</v>
      </c>
      <c r="Q10" s="290">
        <v>844183</v>
      </c>
      <c r="R10" s="290">
        <v>9</v>
      </c>
      <c r="S10" s="290" t="s">
        <v>16</v>
      </c>
      <c r="T10" s="290" t="s">
        <v>16</v>
      </c>
      <c r="U10" s="290">
        <v>85</v>
      </c>
      <c r="V10" s="290" t="s">
        <v>16</v>
      </c>
      <c r="W10" s="290">
        <v>995</v>
      </c>
      <c r="X10" s="290">
        <v>70681</v>
      </c>
    </row>
    <row r="11" spans="1:24" x14ac:dyDescent="0.2">
      <c r="A11" s="290" t="s">
        <v>15</v>
      </c>
      <c r="C11" s="290" t="s">
        <v>344</v>
      </c>
      <c r="D11" s="290">
        <v>227</v>
      </c>
      <c r="E11" s="290">
        <v>14537</v>
      </c>
      <c r="F11" s="290">
        <v>615</v>
      </c>
      <c r="G11" s="290">
        <v>41319</v>
      </c>
      <c r="H11" s="290">
        <v>35387</v>
      </c>
      <c r="I11" s="290">
        <v>113748</v>
      </c>
      <c r="J11" s="290">
        <v>175910</v>
      </c>
      <c r="K11" s="290">
        <v>5001</v>
      </c>
      <c r="L11" s="290">
        <v>4452</v>
      </c>
      <c r="M11" s="290">
        <v>2212</v>
      </c>
      <c r="N11" s="290">
        <v>1914</v>
      </c>
      <c r="O11" s="290">
        <v>1568</v>
      </c>
      <c r="P11" s="290">
        <v>592</v>
      </c>
      <c r="Q11" s="290">
        <v>1314</v>
      </c>
      <c r="R11" s="290">
        <v>227</v>
      </c>
      <c r="S11" s="290" t="s">
        <v>16</v>
      </c>
      <c r="T11" s="290">
        <v>15134</v>
      </c>
      <c r="U11" s="290">
        <v>30605</v>
      </c>
      <c r="V11" s="290">
        <v>64</v>
      </c>
      <c r="W11" s="290">
        <v>29152</v>
      </c>
      <c r="X11" s="290" t="s">
        <v>16</v>
      </c>
    </row>
    <row r="13" spans="1:24" x14ac:dyDescent="0.2">
      <c r="A13" s="290" t="s">
        <v>705</v>
      </c>
      <c r="B13" s="290" t="s">
        <v>645</v>
      </c>
      <c r="C13" s="290" t="s">
        <v>801</v>
      </c>
      <c r="D13" s="290" t="s">
        <v>16</v>
      </c>
      <c r="E13" s="290">
        <v>5952</v>
      </c>
      <c r="F13" s="290" t="s">
        <v>16</v>
      </c>
      <c r="G13" s="290" t="s">
        <v>16</v>
      </c>
      <c r="H13" s="290" t="s">
        <v>16</v>
      </c>
      <c r="I13" s="290" t="s">
        <v>16</v>
      </c>
      <c r="J13" s="290" t="s">
        <v>16</v>
      </c>
      <c r="K13" s="290">
        <v>7910</v>
      </c>
      <c r="L13" s="290">
        <v>15542</v>
      </c>
      <c r="M13" s="290" t="s">
        <v>16</v>
      </c>
      <c r="N13" s="290">
        <v>339</v>
      </c>
      <c r="O13" s="290">
        <v>279</v>
      </c>
      <c r="P13" s="290">
        <v>73</v>
      </c>
      <c r="Q13" s="290">
        <v>69</v>
      </c>
      <c r="R13" s="290">
        <v>198</v>
      </c>
      <c r="S13" s="290" t="s">
        <v>16</v>
      </c>
      <c r="T13" s="290">
        <v>51</v>
      </c>
      <c r="U13" s="290" t="s">
        <v>16</v>
      </c>
      <c r="V13" s="290" t="s">
        <v>16</v>
      </c>
      <c r="W13" s="290">
        <v>22</v>
      </c>
      <c r="X13" s="290">
        <v>19</v>
      </c>
    </row>
    <row r="14" spans="1:24" x14ac:dyDescent="0.2">
      <c r="A14" s="290" t="s">
        <v>816</v>
      </c>
      <c r="B14" s="290" t="s">
        <v>645</v>
      </c>
      <c r="C14" s="290" t="s">
        <v>800</v>
      </c>
      <c r="D14" s="290">
        <v>2194</v>
      </c>
      <c r="E14" s="290">
        <v>9910</v>
      </c>
      <c r="F14" s="290">
        <v>669</v>
      </c>
      <c r="G14" s="290">
        <v>2658</v>
      </c>
      <c r="H14" s="290">
        <v>10666</v>
      </c>
      <c r="I14" s="290">
        <v>20236</v>
      </c>
      <c r="J14" s="290">
        <v>7129</v>
      </c>
      <c r="K14" s="290">
        <v>5842</v>
      </c>
      <c r="L14" s="290">
        <v>8241</v>
      </c>
      <c r="M14" s="290">
        <v>10649</v>
      </c>
      <c r="N14" s="290">
        <v>119</v>
      </c>
      <c r="O14" s="290">
        <v>493</v>
      </c>
      <c r="P14" s="290">
        <v>418</v>
      </c>
      <c r="Q14" s="290" t="s">
        <v>16</v>
      </c>
      <c r="R14" s="290">
        <v>60</v>
      </c>
      <c r="S14" s="290">
        <v>10</v>
      </c>
      <c r="T14" s="290" t="s">
        <v>16</v>
      </c>
      <c r="U14" s="290" t="s">
        <v>16</v>
      </c>
      <c r="V14" s="290" t="s">
        <v>16</v>
      </c>
      <c r="W14" s="290" t="s">
        <v>16</v>
      </c>
      <c r="X14" s="290" t="s">
        <v>16</v>
      </c>
    </row>
    <row r="15" spans="1:24" x14ac:dyDescent="0.2">
      <c r="A15" s="290" t="s">
        <v>704</v>
      </c>
      <c r="B15" s="290" t="s">
        <v>645</v>
      </c>
      <c r="C15" s="290" t="s">
        <v>799</v>
      </c>
      <c r="D15" s="290">
        <v>6098</v>
      </c>
      <c r="E15" s="290">
        <v>375</v>
      </c>
      <c r="F15" s="290">
        <v>165</v>
      </c>
      <c r="G15" s="290">
        <v>609</v>
      </c>
      <c r="H15" s="290">
        <v>128</v>
      </c>
      <c r="I15" s="290">
        <v>236</v>
      </c>
      <c r="J15" s="290">
        <v>1132</v>
      </c>
      <c r="K15" s="290">
        <v>1491</v>
      </c>
      <c r="L15" s="290">
        <v>937</v>
      </c>
      <c r="M15" s="290">
        <v>1096</v>
      </c>
      <c r="N15" s="290">
        <v>1107</v>
      </c>
      <c r="O15" s="290">
        <v>347</v>
      </c>
      <c r="P15" s="290">
        <v>237</v>
      </c>
      <c r="Q15" s="290">
        <v>532</v>
      </c>
      <c r="R15" s="290">
        <v>163</v>
      </c>
      <c r="S15" s="290" t="s">
        <v>16</v>
      </c>
      <c r="T15" s="290" t="s">
        <v>16</v>
      </c>
      <c r="U15" s="290" t="s">
        <v>16</v>
      </c>
      <c r="V15" s="290" t="s">
        <v>16</v>
      </c>
      <c r="W15" s="290" t="s">
        <v>16</v>
      </c>
      <c r="X15" s="290">
        <v>7</v>
      </c>
    </row>
    <row r="16" spans="1:24" x14ac:dyDescent="0.2">
      <c r="A16" s="290" t="s">
        <v>820</v>
      </c>
      <c r="B16" s="290" t="s">
        <v>645</v>
      </c>
      <c r="C16" s="290" t="s">
        <v>798</v>
      </c>
      <c r="D16" s="290" t="s">
        <v>16</v>
      </c>
      <c r="E16" s="290" t="s">
        <v>16</v>
      </c>
      <c r="F16" s="290" t="s">
        <v>16</v>
      </c>
      <c r="G16" s="290" t="s">
        <v>16</v>
      </c>
      <c r="H16" s="290" t="s">
        <v>16</v>
      </c>
      <c r="I16" s="290" t="s">
        <v>16</v>
      </c>
      <c r="J16" s="290">
        <v>119</v>
      </c>
      <c r="K16" s="290" t="s">
        <v>16</v>
      </c>
      <c r="L16" s="290" t="s">
        <v>16</v>
      </c>
      <c r="M16" s="290" t="s">
        <v>16</v>
      </c>
      <c r="N16" s="290" t="s">
        <v>16</v>
      </c>
      <c r="O16" s="290" t="s">
        <v>16</v>
      </c>
      <c r="P16" s="290" t="s">
        <v>16</v>
      </c>
      <c r="Q16" s="290" t="s">
        <v>16</v>
      </c>
      <c r="R16" s="290" t="s">
        <v>16</v>
      </c>
      <c r="S16" s="290" t="s">
        <v>16</v>
      </c>
      <c r="T16" s="290" t="s">
        <v>16</v>
      </c>
      <c r="U16" s="290" t="s">
        <v>16</v>
      </c>
      <c r="V16" s="290" t="s">
        <v>16</v>
      </c>
      <c r="W16" s="290" t="s">
        <v>16</v>
      </c>
      <c r="X16" s="290" t="s">
        <v>16</v>
      </c>
    </row>
    <row r="17" spans="1:24" x14ac:dyDescent="0.2">
      <c r="A17" s="290" t="s">
        <v>821</v>
      </c>
      <c r="B17" s="290" t="s">
        <v>645</v>
      </c>
      <c r="C17" s="290" t="s">
        <v>797</v>
      </c>
      <c r="D17" s="290" t="s">
        <v>16</v>
      </c>
      <c r="E17" s="290" t="s">
        <v>16</v>
      </c>
      <c r="F17" s="290" t="s">
        <v>16</v>
      </c>
      <c r="G17" s="290" t="s">
        <v>16</v>
      </c>
      <c r="H17" s="290" t="s">
        <v>16</v>
      </c>
      <c r="I17" s="290" t="s">
        <v>16</v>
      </c>
      <c r="J17" s="290" t="s">
        <v>16</v>
      </c>
      <c r="K17" s="290">
        <v>899</v>
      </c>
      <c r="L17" s="290" t="s">
        <v>16</v>
      </c>
      <c r="M17" s="290">
        <v>9</v>
      </c>
      <c r="N17" s="290" t="s">
        <v>16</v>
      </c>
      <c r="O17" s="290" t="s">
        <v>16</v>
      </c>
      <c r="P17" s="290" t="s">
        <v>16</v>
      </c>
      <c r="Q17" s="290" t="s">
        <v>16</v>
      </c>
      <c r="R17" s="290">
        <v>255</v>
      </c>
      <c r="S17" s="290" t="s">
        <v>16</v>
      </c>
      <c r="T17" s="290" t="s">
        <v>16</v>
      </c>
      <c r="U17" s="290" t="s">
        <v>16</v>
      </c>
      <c r="V17" s="290" t="s">
        <v>16</v>
      </c>
      <c r="W17" s="290" t="s">
        <v>16</v>
      </c>
      <c r="X17" s="290" t="s">
        <v>16</v>
      </c>
    </row>
    <row r="18" spans="1:24" x14ac:dyDescent="0.2">
      <c r="A18" s="290" t="s">
        <v>822</v>
      </c>
      <c r="B18" s="290" t="s">
        <v>645</v>
      </c>
      <c r="C18" s="290" t="s">
        <v>796</v>
      </c>
      <c r="D18" s="290" t="s">
        <v>16</v>
      </c>
      <c r="E18" s="290" t="s">
        <v>16</v>
      </c>
      <c r="F18" s="290" t="s">
        <v>16</v>
      </c>
      <c r="G18" s="290" t="s">
        <v>16</v>
      </c>
      <c r="H18" s="290" t="s">
        <v>16</v>
      </c>
      <c r="I18" s="290" t="s">
        <v>16</v>
      </c>
      <c r="J18" s="290" t="s">
        <v>16</v>
      </c>
      <c r="K18" s="290">
        <v>1198</v>
      </c>
      <c r="L18" s="290">
        <v>3548</v>
      </c>
      <c r="M18" s="290">
        <v>3181</v>
      </c>
      <c r="N18" s="290" t="s">
        <v>16</v>
      </c>
      <c r="O18" s="290" t="s">
        <v>16</v>
      </c>
      <c r="P18" s="290">
        <v>31</v>
      </c>
      <c r="Q18" s="290" t="s">
        <v>16</v>
      </c>
      <c r="R18" s="290" t="s">
        <v>16</v>
      </c>
      <c r="S18" s="290" t="s">
        <v>16</v>
      </c>
      <c r="T18" s="290" t="s">
        <v>16</v>
      </c>
      <c r="U18" s="290" t="s">
        <v>16</v>
      </c>
      <c r="V18" s="290" t="s">
        <v>16</v>
      </c>
      <c r="W18" s="290" t="s">
        <v>16</v>
      </c>
      <c r="X18" s="290">
        <v>142</v>
      </c>
    </row>
    <row r="19" spans="1:24" x14ac:dyDescent="0.2">
      <c r="A19" s="290" t="s">
        <v>718</v>
      </c>
      <c r="B19" s="290" t="s">
        <v>645</v>
      </c>
      <c r="C19" s="290" t="s">
        <v>795</v>
      </c>
      <c r="D19" s="290" t="s">
        <v>16</v>
      </c>
      <c r="E19" s="290" t="s">
        <v>16</v>
      </c>
      <c r="F19" s="290" t="s">
        <v>16</v>
      </c>
      <c r="G19" s="290" t="s">
        <v>16</v>
      </c>
      <c r="H19" s="290" t="s">
        <v>16</v>
      </c>
      <c r="I19" s="290" t="s">
        <v>16</v>
      </c>
      <c r="J19" s="290" t="s">
        <v>16</v>
      </c>
      <c r="K19" s="290" t="s">
        <v>16</v>
      </c>
      <c r="L19" s="290">
        <v>4</v>
      </c>
      <c r="M19" s="290" t="s">
        <v>16</v>
      </c>
      <c r="N19" s="290" t="s">
        <v>16</v>
      </c>
      <c r="O19" s="290" t="s">
        <v>16</v>
      </c>
      <c r="P19" s="290" t="s">
        <v>16</v>
      </c>
      <c r="Q19" s="290" t="s">
        <v>16</v>
      </c>
      <c r="R19" s="290" t="s">
        <v>16</v>
      </c>
      <c r="S19" s="290" t="s">
        <v>16</v>
      </c>
      <c r="T19" s="290" t="s">
        <v>16</v>
      </c>
      <c r="U19" s="290" t="s">
        <v>16</v>
      </c>
      <c r="V19" s="290" t="s">
        <v>16</v>
      </c>
      <c r="W19" s="290" t="s">
        <v>16</v>
      </c>
      <c r="X19" s="290" t="s">
        <v>16</v>
      </c>
    </row>
    <row r="20" spans="1:24" x14ac:dyDescent="0.2">
      <c r="A20" s="290" t="s">
        <v>702</v>
      </c>
      <c r="B20" s="290" t="s">
        <v>645</v>
      </c>
      <c r="C20" s="290" t="s">
        <v>794</v>
      </c>
      <c r="D20" s="290" t="s">
        <v>16</v>
      </c>
      <c r="E20" s="290">
        <v>3913</v>
      </c>
      <c r="F20" s="290">
        <v>11817</v>
      </c>
      <c r="G20" s="290">
        <v>12151</v>
      </c>
      <c r="H20" s="290">
        <v>5577</v>
      </c>
      <c r="I20" s="290">
        <v>7679</v>
      </c>
      <c r="J20" s="290">
        <v>5979</v>
      </c>
      <c r="K20" s="290">
        <v>1670</v>
      </c>
      <c r="L20" s="290">
        <v>11141</v>
      </c>
      <c r="M20" s="290">
        <v>15775</v>
      </c>
      <c r="N20" s="290">
        <v>1288</v>
      </c>
      <c r="O20" s="290">
        <v>4504</v>
      </c>
      <c r="P20" s="290" t="s">
        <v>16</v>
      </c>
      <c r="Q20" s="290" t="s">
        <v>16</v>
      </c>
      <c r="R20" s="290" t="s">
        <v>16</v>
      </c>
      <c r="S20" s="290" t="s">
        <v>16</v>
      </c>
      <c r="T20" s="290" t="s">
        <v>16</v>
      </c>
      <c r="U20" s="290" t="s">
        <v>16</v>
      </c>
      <c r="V20" s="290" t="s">
        <v>16</v>
      </c>
      <c r="W20" s="290" t="s">
        <v>16</v>
      </c>
      <c r="X20" s="290" t="s">
        <v>16</v>
      </c>
    </row>
    <row r="21" spans="1:24" x14ac:dyDescent="0.2">
      <c r="A21" s="290" t="s">
        <v>823</v>
      </c>
      <c r="B21" s="290" t="s">
        <v>645</v>
      </c>
      <c r="C21" s="290" t="s">
        <v>793</v>
      </c>
      <c r="D21" s="290">
        <v>175</v>
      </c>
      <c r="E21" s="290" t="s">
        <v>16</v>
      </c>
      <c r="F21" s="290">
        <v>1147</v>
      </c>
      <c r="G21" s="290">
        <v>982</v>
      </c>
      <c r="H21" s="290" t="s">
        <v>16</v>
      </c>
      <c r="I21" s="290" t="s">
        <v>16</v>
      </c>
      <c r="J21" s="290">
        <v>353</v>
      </c>
      <c r="K21" s="290" t="s">
        <v>16</v>
      </c>
      <c r="L21" s="290">
        <v>20</v>
      </c>
      <c r="M21" s="290">
        <v>3081</v>
      </c>
      <c r="N21" s="290">
        <v>40</v>
      </c>
      <c r="O21" s="290">
        <v>90</v>
      </c>
      <c r="P21" s="290" t="s">
        <v>16</v>
      </c>
      <c r="Q21" s="290" t="s">
        <v>16</v>
      </c>
      <c r="R21" s="290">
        <v>220</v>
      </c>
      <c r="S21" s="290" t="s">
        <v>16</v>
      </c>
      <c r="T21" s="290" t="s">
        <v>16</v>
      </c>
      <c r="U21" s="290" t="s">
        <v>16</v>
      </c>
      <c r="V21" s="290" t="s">
        <v>16</v>
      </c>
      <c r="W21" s="290" t="s">
        <v>16</v>
      </c>
      <c r="X21" s="290" t="s">
        <v>16</v>
      </c>
    </row>
    <row r="22" spans="1:24" x14ac:dyDescent="0.2">
      <c r="A22" s="290" t="s">
        <v>701</v>
      </c>
      <c r="B22" s="290" t="s">
        <v>645</v>
      </c>
      <c r="C22" s="290" t="s">
        <v>361</v>
      </c>
      <c r="D22" s="290">
        <v>1703</v>
      </c>
      <c r="E22" s="290">
        <v>1897</v>
      </c>
      <c r="F22" s="290" t="s">
        <v>16</v>
      </c>
      <c r="G22" s="290" t="s">
        <v>16</v>
      </c>
      <c r="H22" s="290">
        <v>2565</v>
      </c>
      <c r="I22" s="290">
        <v>2873</v>
      </c>
      <c r="J22" s="290">
        <v>335</v>
      </c>
      <c r="K22" s="290">
        <v>2860</v>
      </c>
      <c r="L22" s="290">
        <v>8957</v>
      </c>
      <c r="M22" s="290">
        <v>1258</v>
      </c>
      <c r="N22" s="290">
        <v>1197</v>
      </c>
      <c r="O22" s="290">
        <v>20</v>
      </c>
      <c r="P22" s="290">
        <v>158063</v>
      </c>
      <c r="Q22" s="290">
        <v>221085</v>
      </c>
      <c r="R22" s="290">
        <v>11</v>
      </c>
      <c r="S22" s="290">
        <v>51268</v>
      </c>
      <c r="T22" s="290">
        <v>201486</v>
      </c>
      <c r="U22" s="290">
        <v>59</v>
      </c>
      <c r="V22" s="290">
        <v>10</v>
      </c>
      <c r="W22" s="290">
        <v>95</v>
      </c>
      <c r="X22" s="290">
        <v>52</v>
      </c>
    </row>
    <row r="23" spans="1:24" x14ac:dyDescent="0.2">
      <c r="A23" s="290" t="s">
        <v>824</v>
      </c>
      <c r="B23" s="290" t="s">
        <v>645</v>
      </c>
      <c r="C23" s="290" t="s">
        <v>792</v>
      </c>
      <c r="D23" s="290" t="s">
        <v>16</v>
      </c>
      <c r="E23" s="290" t="s">
        <v>16</v>
      </c>
      <c r="F23" s="290" t="s">
        <v>16</v>
      </c>
      <c r="G23" s="290" t="s">
        <v>16</v>
      </c>
      <c r="H23" s="290" t="s">
        <v>16</v>
      </c>
      <c r="I23" s="290" t="s">
        <v>16</v>
      </c>
      <c r="J23" s="290" t="s">
        <v>16</v>
      </c>
      <c r="K23" s="290">
        <v>157</v>
      </c>
      <c r="L23" s="290" t="s">
        <v>16</v>
      </c>
      <c r="M23" s="290" t="s">
        <v>16</v>
      </c>
      <c r="N23" s="290" t="s">
        <v>16</v>
      </c>
      <c r="O23" s="290" t="s">
        <v>16</v>
      </c>
      <c r="P23" s="290" t="s">
        <v>16</v>
      </c>
      <c r="Q23" s="290" t="s">
        <v>16</v>
      </c>
      <c r="R23" s="290" t="s">
        <v>16</v>
      </c>
      <c r="S23" s="290" t="s">
        <v>16</v>
      </c>
      <c r="T23" s="290" t="s">
        <v>16</v>
      </c>
      <c r="U23" s="290" t="s">
        <v>16</v>
      </c>
      <c r="V23" s="290" t="s">
        <v>16</v>
      </c>
      <c r="W23" s="290" t="s">
        <v>16</v>
      </c>
      <c r="X23" s="290" t="s">
        <v>16</v>
      </c>
    </row>
    <row r="24" spans="1:24" x14ac:dyDescent="0.2">
      <c r="A24" s="290" t="s">
        <v>825</v>
      </c>
      <c r="B24" s="290" t="s">
        <v>645</v>
      </c>
      <c r="C24" s="290" t="s">
        <v>791</v>
      </c>
      <c r="D24" s="290" t="s">
        <v>16</v>
      </c>
      <c r="E24" s="290" t="s">
        <v>16</v>
      </c>
      <c r="F24" s="290" t="s">
        <v>16</v>
      </c>
      <c r="G24" s="290">
        <v>992</v>
      </c>
      <c r="H24" s="290" t="s">
        <v>16</v>
      </c>
      <c r="I24" s="290" t="s">
        <v>16</v>
      </c>
      <c r="J24" s="290">
        <v>670</v>
      </c>
      <c r="K24" s="290">
        <v>192</v>
      </c>
      <c r="L24" s="290" t="s">
        <v>16</v>
      </c>
      <c r="M24" s="290" t="s">
        <v>16</v>
      </c>
      <c r="N24" s="290" t="s">
        <v>16</v>
      </c>
      <c r="O24" s="290" t="s">
        <v>16</v>
      </c>
      <c r="P24" s="290" t="s">
        <v>16</v>
      </c>
      <c r="Q24" s="290" t="s">
        <v>16</v>
      </c>
      <c r="R24" s="290" t="s">
        <v>16</v>
      </c>
      <c r="S24" s="290" t="s">
        <v>16</v>
      </c>
      <c r="T24" s="290" t="s">
        <v>16</v>
      </c>
      <c r="U24" s="290" t="s">
        <v>16</v>
      </c>
      <c r="V24" s="290" t="s">
        <v>16</v>
      </c>
      <c r="W24" s="290" t="s">
        <v>16</v>
      </c>
      <c r="X24" s="290" t="s">
        <v>16</v>
      </c>
    </row>
    <row r="25" spans="1:24" x14ac:dyDescent="0.2">
      <c r="A25" s="290" t="s">
        <v>826</v>
      </c>
      <c r="B25" s="290" t="s">
        <v>645</v>
      </c>
      <c r="C25" s="290" t="s">
        <v>790</v>
      </c>
      <c r="D25" s="290" t="s">
        <v>16</v>
      </c>
      <c r="E25" s="290" t="s">
        <v>16</v>
      </c>
      <c r="F25" s="290" t="s">
        <v>16</v>
      </c>
      <c r="G25" s="290" t="s">
        <v>16</v>
      </c>
      <c r="H25" s="290" t="s">
        <v>16</v>
      </c>
      <c r="I25" s="290" t="s">
        <v>16</v>
      </c>
      <c r="J25" s="290">
        <v>115</v>
      </c>
      <c r="K25" s="290" t="s">
        <v>16</v>
      </c>
      <c r="L25" s="290">
        <v>134</v>
      </c>
      <c r="M25" s="290">
        <v>191</v>
      </c>
      <c r="N25" s="290" t="s">
        <v>16</v>
      </c>
      <c r="O25" s="290" t="s">
        <v>16</v>
      </c>
      <c r="P25" s="290" t="s">
        <v>16</v>
      </c>
      <c r="Q25" s="290" t="s">
        <v>16</v>
      </c>
      <c r="R25" s="290">
        <v>56</v>
      </c>
      <c r="S25" s="290">
        <v>28</v>
      </c>
      <c r="T25" s="290" t="s">
        <v>16</v>
      </c>
      <c r="U25" s="290" t="s">
        <v>16</v>
      </c>
      <c r="V25" s="290" t="s">
        <v>16</v>
      </c>
      <c r="W25" s="290" t="s">
        <v>16</v>
      </c>
      <c r="X25" s="290" t="s">
        <v>16</v>
      </c>
    </row>
    <row r="26" spans="1:24" x14ac:dyDescent="0.2">
      <c r="A26" s="290" t="s">
        <v>699</v>
      </c>
      <c r="B26" s="290" t="s">
        <v>645</v>
      </c>
      <c r="C26" s="290" t="s">
        <v>789</v>
      </c>
      <c r="D26" s="290" t="s">
        <v>16</v>
      </c>
      <c r="E26" s="290" t="s">
        <v>16</v>
      </c>
      <c r="F26" s="290" t="s">
        <v>16</v>
      </c>
      <c r="G26" s="290" t="s">
        <v>16</v>
      </c>
      <c r="H26" s="290" t="s">
        <v>16</v>
      </c>
      <c r="I26" s="290" t="s">
        <v>16</v>
      </c>
      <c r="J26" s="290" t="s">
        <v>16</v>
      </c>
      <c r="K26" s="290" t="s">
        <v>16</v>
      </c>
      <c r="L26" s="290" t="s">
        <v>16</v>
      </c>
      <c r="M26" s="290" t="s">
        <v>16</v>
      </c>
      <c r="N26" s="290" t="s">
        <v>16</v>
      </c>
      <c r="O26" s="290">
        <v>88428</v>
      </c>
      <c r="P26" s="290">
        <v>110119</v>
      </c>
      <c r="Q26" s="290">
        <v>242757</v>
      </c>
      <c r="R26" s="290" t="s">
        <v>16</v>
      </c>
      <c r="S26" s="290" t="s">
        <v>16</v>
      </c>
      <c r="T26" s="290" t="s">
        <v>16</v>
      </c>
      <c r="U26" s="290" t="s">
        <v>16</v>
      </c>
      <c r="V26" s="290" t="s">
        <v>16</v>
      </c>
      <c r="W26" s="290">
        <v>58808</v>
      </c>
      <c r="X26" s="290" t="s">
        <v>16</v>
      </c>
    </row>
    <row r="27" spans="1:24" x14ac:dyDescent="0.2">
      <c r="A27" s="290" t="s">
        <v>698</v>
      </c>
      <c r="B27" s="290" t="s">
        <v>645</v>
      </c>
      <c r="C27" s="290" t="s">
        <v>353</v>
      </c>
      <c r="D27" s="290">
        <v>243</v>
      </c>
      <c r="E27" s="290" t="s">
        <v>16</v>
      </c>
      <c r="F27" s="290">
        <v>320</v>
      </c>
      <c r="G27" s="290" t="s">
        <v>16</v>
      </c>
      <c r="H27" s="290" t="s">
        <v>16</v>
      </c>
      <c r="I27" s="290" t="s">
        <v>16</v>
      </c>
      <c r="J27" s="290">
        <v>1480</v>
      </c>
      <c r="K27" s="290">
        <v>1717</v>
      </c>
      <c r="L27" s="290">
        <v>258</v>
      </c>
      <c r="M27" s="290">
        <v>783</v>
      </c>
      <c r="N27" s="290">
        <v>355</v>
      </c>
      <c r="O27" s="290">
        <v>270334</v>
      </c>
      <c r="P27" s="290">
        <v>1070888</v>
      </c>
      <c r="Q27" s="290">
        <v>389767</v>
      </c>
      <c r="R27" s="290">
        <v>509045</v>
      </c>
      <c r="S27" s="290">
        <v>75</v>
      </c>
      <c r="T27" s="290">
        <v>140</v>
      </c>
      <c r="U27" s="290">
        <v>502231</v>
      </c>
      <c r="V27" s="290">
        <v>550499</v>
      </c>
      <c r="W27" s="290">
        <v>40</v>
      </c>
      <c r="X27" s="290">
        <v>305927</v>
      </c>
    </row>
    <row r="28" spans="1:24" x14ac:dyDescent="0.2">
      <c r="A28" s="290" t="s">
        <v>697</v>
      </c>
      <c r="B28" s="290" t="s">
        <v>645</v>
      </c>
      <c r="C28" s="290" t="s">
        <v>788</v>
      </c>
      <c r="D28" s="290" t="s">
        <v>16</v>
      </c>
      <c r="E28" s="290" t="s">
        <v>16</v>
      </c>
      <c r="F28" s="290" t="s">
        <v>16</v>
      </c>
      <c r="G28" s="290" t="s">
        <v>16</v>
      </c>
      <c r="H28" s="290" t="s">
        <v>16</v>
      </c>
      <c r="I28" s="290" t="s">
        <v>16</v>
      </c>
      <c r="J28" s="290" t="s">
        <v>16</v>
      </c>
      <c r="K28" s="290" t="s">
        <v>16</v>
      </c>
      <c r="L28" s="290">
        <v>97</v>
      </c>
      <c r="M28" s="290">
        <v>197</v>
      </c>
      <c r="N28" s="290" t="s">
        <v>16</v>
      </c>
      <c r="O28" s="290" t="s">
        <v>16</v>
      </c>
      <c r="P28" s="290" t="s">
        <v>16</v>
      </c>
      <c r="Q28" s="290">
        <v>90</v>
      </c>
      <c r="R28" s="290">
        <v>210</v>
      </c>
      <c r="S28" s="290">
        <v>165</v>
      </c>
      <c r="T28" s="290">
        <v>21</v>
      </c>
      <c r="U28" s="290" t="s">
        <v>16</v>
      </c>
      <c r="V28" s="290" t="s">
        <v>16</v>
      </c>
      <c r="W28" s="290" t="s">
        <v>16</v>
      </c>
      <c r="X28" s="290" t="s">
        <v>16</v>
      </c>
    </row>
    <row r="29" spans="1:24" x14ac:dyDescent="0.2">
      <c r="A29" s="290" t="s">
        <v>817</v>
      </c>
      <c r="B29" s="290" t="s">
        <v>645</v>
      </c>
      <c r="C29" s="290" t="s">
        <v>354</v>
      </c>
      <c r="D29" s="290">
        <v>512</v>
      </c>
      <c r="E29" s="290">
        <v>3194</v>
      </c>
      <c r="F29" s="290">
        <v>1915</v>
      </c>
      <c r="G29" s="290">
        <v>177</v>
      </c>
      <c r="H29" s="290">
        <v>1570</v>
      </c>
      <c r="I29" s="290">
        <v>321</v>
      </c>
      <c r="J29" s="290">
        <v>5146</v>
      </c>
      <c r="K29" s="290">
        <v>291</v>
      </c>
      <c r="L29" s="290">
        <v>1599</v>
      </c>
      <c r="M29" s="290">
        <v>3560</v>
      </c>
      <c r="N29" s="290">
        <v>4828</v>
      </c>
      <c r="O29" s="290">
        <v>4525</v>
      </c>
      <c r="P29" s="290">
        <v>239</v>
      </c>
      <c r="Q29" s="290">
        <v>66</v>
      </c>
      <c r="R29" s="290">
        <v>218</v>
      </c>
      <c r="S29" s="290">
        <v>108</v>
      </c>
      <c r="T29" s="290">
        <v>217</v>
      </c>
      <c r="U29" s="290">
        <v>534</v>
      </c>
      <c r="V29" s="290">
        <v>710</v>
      </c>
      <c r="W29" s="290">
        <v>43</v>
      </c>
      <c r="X29" s="290">
        <v>259</v>
      </c>
    </row>
    <row r="30" spans="1:24" x14ac:dyDescent="0.2">
      <c r="A30" s="290" t="s">
        <v>696</v>
      </c>
      <c r="B30" s="290" t="s">
        <v>645</v>
      </c>
      <c r="C30" s="290" t="s">
        <v>787</v>
      </c>
      <c r="D30" s="290" t="s">
        <v>16</v>
      </c>
      <c r="E30" s="290" t="s">
        <v>16</v>
      </c>
      <c r="F30" s="290" t="s">
        <v>16</v>
      </c>
      <c r="G30" s="290" t="s">
        <v>16</v>
      </c>
      <c r="H30" s="290" t="s">
        <v>16</v>
      </c>
      <c r="I30" s="290" t="s">
        <v>16</v>
      </c>
      <c r="J30" s="290" t="s">
        <v>16</v>
      </c>
      <c r="K30" s="290" t="s">
        <v>16</v>
      </c>
      <c r="L30" s="290">
        <v>362</v>
      </c>
      <c r="M30" s="290">
        <v>870</v>
      </c>
      <c r="N30" s="290">
        <v>13</v>
      </c>
      <c r="O30" s="290">
        <v>13</v>
      </c>
      <c r="P30" s="290">
        <v>20</v>
      </c>
      <c r="Q30" s="290" t="s">
        <v>16</v>
      </c>
      <c r="R30" s="290" t="s">
        <v>16</v>
      </c>
      <c r="S30" s="290" t="s">
        <v>16</v>
      </c>
      <c r="T30" s="290" t="s">
        <v>16</v>
      </c>
      <c r="U30" s="290" t="s">
        <v>16</v>
      </c>
      <c r="V30" s="290" t="s">
        <v>16</v>
      </c>
      <c r="W30" s="290" t="s">
        <v>16</v>
      </c>
      <c r="X30" s="290" t="s">
        <v>16</v>
      </c>
    </row>
    <row r="31" spans="1:24" x14ac:dyDescent="0.2">
      <c r="A31" s="290" t="s">
        <v>827</v>
      </c>
      <c r="B31" s="290" t="s">
        <v>645</v>
      </c>
      <c r="C31" s="290" t="s">
        <v>786</v>
      </c>
      <c r="D31" s="290" t="s">
        <v>16</v>
      </c>
      <c r="E31" s="290" t="s">
        <v>16</v>
      </c>
      <c r="F31" s="290" t="s">
        <v>16</v>
      </c>
      <c r="G31" s="290" t="s">
        <v>16</v>
      </c>
      <c r="H31" s="290" t="s">
        <v>16</v>
      </c>
      <c r="I31" s="290" t="s">
        <v>16</v>
      </c>
      <c r="J31" s="290" t="s">
        <v>16</v>
      </c>
      <c r="K31" s="290" t="s">
        <v>16</v>
      </c>
      <c r="L31" s="290" t="s">
        <v>16</v>
      </c>
      <c r="M31" s="290" t="s">
        <v>16</v>
      </c>
      <c r="N31" s="290" t="s">
        <v>16</v>
      </c>
      <c r="O31" s="290">
        <v>25</v>
      </c>
      <c r="P31" s="290" t="s">
        <v>16</v>
      </c>
      <c r="Q31" s="290" t="s">
        <v>16</v>
      </c>
      <c r="R31" s="290" t="s">
        <v>16</v>
      </c>
      <c r="S31" s="290" t="s">
        <v>16</v>
      </c>
      <c r="T31" s="290" t="s">
        <v>16</v>
      </c>
      <c r="U31" s="290" t="s">
        <v>16</v>
      </c>
      <c r="V31" s="290" t="s">
        <v>16</v>
      </c>
      <c r="W31" s="290" t="s">
        <v>16</v>
      </c>
      <c r="X31" s="290" t="s">
        <v>16</v>
      </c>
    </row>
    <row r="32" spans="1:24" x14ac:dyDescent="0.2">
      <c r="A32" s="290" t="s">
        <v>695</v>
      </c>
      <c r="B32" s="290" t="s">
        <v>645</v>
      </c>
      <c r="C32" s="290" t="s">
        <v>359</v>
      </c>
      <c r="D32" s="290" t="s">
        <v>16</v>
      </c>
      <c r="E32" s="290">
        <v>690</v>
      </c>
      <c r="F32" s="290" t="s">
        <v>16</v>
      </c>
      <c r="G32" s="290" t="s">
        <v>16</v>
      </c>
      <c r="H32" s="290" t="s">
        <v>16</v>
      </c>
      <c r="I32" s="290" t="s">
        <v>16</v>
      </c>
      <c r="J32" s="290" t="s">
        <v>16</v>
      </c>
      <c r="K32" s="290" t="s">
        <v>16</v>
      </c>
      <c r="L32" s="290" t="s">
        <v>16</v>
      </c>
      <c r="M32" s="290">
        <v>244</v>
      </c>
      <c r="N32" s="290">
        <v>121</v>
      </c>
      <c r="O32" s="290">
        <v>18</v>
      </c>
      <c r="P32" s="290">
        <v>35</v>
      </c>
      <c r="Q32" s="290" t="s">
        <v>16</v>
      </c>
      <c r="R32" s="290">
        <v>95</v>
      </c>
      <c r="S32" s="290" t="s">
        <v>16</v>
      </c>
      <c r="T32" s="290">
        <v>3</v>
      </c>
      <c r="U32" s="290">
        <v>22</v>
      </c>
      <c r="V32" s="290">
        <v>192</v>
      </c>
      <c r="W32" s="290" t="s">
        <v>16</v>
      </c>
      <c r="X32" s="290" t="s">
        <v>16</v>
      </c>
    </row>
    <row r="33" spans="1:24" x14ac:dyDescent="0.2">
      <c r="A33" s="290" t="s">
        <v>693</v>
      </c>
      <c r="B33" s="290" t="s">
        <v>645</v>
      </c>
      <c r="C33" s="290" t="s">
        <v>367</v>
      </c>
      <c r="D33" s="290" t="s">
        <v>16</v>
      </c>
      <c r="E33" s="290" t="s">
        <v>16</v>
      </c>
      <c r="F33" s="290" t="s">
        <v>16</v>
      </c>
      <c r="G33" s="290" t="s">
        <v>16</v>
      </c>
      <c r="H33" s="290" t="s">
        <v>16</v>
      </c>
      <c r="I33" s="290" t="s">
        <v>16</v>
      </c>
      <c r="J33" s="290" t="s">
        <v>16</v>
      </c>
      <c r="K33" s="290" t="s">
        <v>16</v>
      </c>
      <c r="L33" s="290" t="s">
        <v>16</v>
      </c>
      <c r="M33" s="290" t="s">
        <v>16</v>
      </c>
      <c r="N33" s="290" t="s">
        <v>16</v>
      </c>
      <c r="O33" s="290" t="s">
        <v>16</v>
      </c>
      <c r="P33" s="290" t="s">
        <v>16</v>
      </c>
      <c r="Q33" s="290" t="s">
        <v>16</v>
      </c>
      <c r="R33" s="290" t="s">
        <v>16</v>
      </c>
      <c r="S33" s="290" t="s">
        <v>16</v>
      </c>
      <c r="T33" s="290" t="s">
        <v>16</v>
      </c>
      <c r="U33" s="290">
        <v>64080</v>
      </c>
      <c r="V33" s="290" t="s">
        <v>16</v>
      </c>
      <c r="W33" s="290" t="s">
        <v>16</v>
      </c>
      <c r="X33" s="290" t="s">
        <v>16</v>
      </c>
    </row>
    <row r="34" spans="1:24" x14ac:dyDescent="0.2">
      <c r="A34" s="290" t="s">
        <v>691</v>
      </c>
      <c r="B34" s="290" t="s">
        <v>645</v>
      </c>
      <c r="C34" s="290" t="s">
        <v>785</v>
      </c>
      <c r="D34" s="290" t="s">
        <v>16</v>
      </c>
      <c r="E34" s="290" t="s">
        <v>16</v>
      </c>
      <c r="F34" s="290" t="s">
        <v>16</v>
      </c>
      <c r="G34" s="290" t="s">
        <v>16</v>
      </c>
      <c r="H34" s="290" t="s">
        <v>16</v>
      </c>
      <c r="I34" s="290">
        <v>22</v>
      </c>
      <c r="J34" s="290">
        <v>66</v>
      </c>
      <c r="K34" s="290" t="s">
        <v>16</v>
      </c>
      <c r="L34" s="290" t="s">
        <v>16</v>
      </c>
      <c r="M34" s="290" t="s">
        <v>16</v>
      </c>
      <c r="N34" s="290" t="s">
        <v>16</v>
      </c>
      <c r="O34" s="290" t="s">
        <v>16</v>
      </c>
      <c r="P34" s="290">
        <v>36</v>
      </c>
      <c r="Q34" s="290" t="s">
        <v>16</v>
      </c>
      <c r="R34" s="290" t="s">
        <v>16</v>
      </c>
      <c r="S34" s="290" t="s">
        <v>16</v>
      </c>
      <c r="T34" s="290" t="s">
        <v>16</v>
      </c>
      <c r="U34" s="290" t="s">
        <v>16</v>
      </c>
      <c r="V34" s="290" t="s">
        <v>16</v>
      </c>
      <c r="W34" s="290" t="s">
        <v>16</v>
      </c>
      <c r="X34" s="290" t="s">
        <v>16</v>
      </c>
    </row>
    <row r="35" spans="1:24" x14ac:dyDescent="0.2">
      <c r="A35" s="290" t="s">
        <v>690</v>
      </c>
      <c r="B35" s="290" t="s">
        <v>645</v>
      </c>
      <c r="C35" s="290" t="s">
        <v>356</v>
      </c>
      <c r="D35" s="290">
        <v>611</v>
      </c>
      <c r="E35" s="290">
        <v>651</v>
      </c>
      <c r="F35" s="290" t="s">
        <v>16</v>
      </c>
      <c r="G35" s="290">
        <v>23</v>
      </c>
      <c r="H35" s="290">
        <v>320</v>
      </c>
      <c r="I35" s="290">
        <v>843</v>
      </c>
      <c r="J35" s="290">
        <v>221</v>
      </c>
      <c r="K35" s="290">
        <v>614</v>
      </c>
      <c r="L35" s="290">
        <v>348</v>
      </c>
      <c r="M35" s="290">
        <v>184</v>
      </c>
      <c r="N35" s="290">
        <v>24</v>
      </c>
      <c r="O35" s="290">
        <v>247</v>
      </c>
      <c r="P35" s="290">
        <v>94</v>
      </c>
      <c r="Q35" s="290">
        <v>33</v>
      </c>
      <c r="R35" s="290">
        <v>56</v>
      </c>
      <c r="S35" s="290" t="s">
        <v>16</v>
      </c>
      <c r="T35" s="290">
        <v>90</v>
      </c>
      <c r="U35" s="290">
        <v>161</v>
      </c>
      <c r="V35" s="290">
        <v>151</v>
      </c>
      <c r="W35" s="290">
        <v>422</v>
      </c>
      <c r="X35" s="290">
        <v>32</v>
      </c>
    </row>
    <row r="36" spans="1:24" x14ac:dyDescent="0.2">
      <c r="A36" s="290" t="s">
        <v>689</v>
      </c>
      <c r="B36" s="290" t="s">
        <v>645</v>
      </c>
      <c r="C36" s="290" t="s">
        <v>347</v>
      </c>
      <c r="D36" s="290">
        <v>751</v>
      </c>
      <c r="E36" s="290">
        <v>3363</v>
      </c>
      <c r="F36" s="290">
        <v>4650</v>
      </c>
      <c r="G36" s="290">
        <v>8285</v>
      </c>
      <c r="H36" s="290">
        <v>1423</v>
      </c>
      <c r="I36" s="290">
        <v>8067</v>
      </c>
      <c r="J36" s="290">
        <v>25200</v>
      </c>
      <c r="K36" s="290">
        <v>16099</v>
      </c>
      <c r="L36" s="290">
        <v>7980</v>
      </c>
      <c r="M36" s="290">
        <v>5225</v>
      </c>
      <c r="N36" s="290">
        <v>7121</v>
      </c>
      <c r="O36" s="290">
        <v>585</v>
      </c>
      <c r="P36" s="290">
        <v>2074</v>
      </c>
      <c r="Q36" s="290">
        <v>462</v>
      </c>
      <c r="R36" s="290">
        <v>251</v>
      </c>
      <c r="S36" s="290">
        <v>746</v>
      </c>
      <c r="T36" s="290">
        <v>1627</v>
      </c>
      <c r="U36" s="290">
        <v>289</v>
      </c>
      <c r="V36" s="290">
        <v>40</v>
      </c>
      <c r="W36" s="290">
        <v>107</v>
      </c>
      <c r="X36" s="290">
        <v>176</v>
      </c>
    </row>
    <row r="37" spans="1:24" x14ac:dyDescent="0.2">
      <c r="A37" s="290" t="s">
        <v>720</v>
      </c>
      <c r="B37" s="290" t="s">
        <v>645</v>
      </c>
      <c r="C37" s="290" t="s">
        <v>784</v>
      </c>
      <c r="D37" s="290" t="s">
        <v>16</v>
      </c>
      <c r="E37" s="290" t="s">
        <v>16</v>
      </c>
      <c r="F37" s="290" t="s">
        <v>16</v>
      </c>
      <c r="G37" s="290" t="s">
        <v>16</v>
      </c>
      <c r="H37" s="290" t="s">
        <v>16</v>
      </c>
      <c r="I37" s="290">
        <v>11</v>
      </c>
      <c r="J37" s="290" t="s">
        <v>16</v>
      </c>
      <c r="K37" s="290" t="s">
        <v>16</v>
      </c>
      <c r="L37" s="290">
        <v>14</v>
      </c>
      <c r="M37" s="290" t="s">
        <v>16</v>
      </c>
      <c r="N37" s="290" t="s">
        <v>16</v>
      </c>
      <c r="O37" s="290" t="s">
        <v>16</v>
      </c>
      <c r="P37" s="290" t="s">
        <v>16</v>
      </c>
      <c r="Q37" s="290">
        <v>32</v>
      </c>
      <c r="R37" s="290">
        <v>16</v>
      </c>
      <c r="S37" s="290" t="s">
        <v>16</v>
      </c>
      <c r="T37" s="290" t="s">
        <v>16</v>
      </c>
      <c r="U37" s="290" t="s">
        <v>16</v>
      </c>
      <c r="V37" s="290">
        <v>11</v>
      </c>
      <c r="W37" s="290" t="s">
        <v>16</v>
      </c>
      <c r="X37" s="290" t="s">
        <v>16</v>
      </c>
    </row>
    <row r="38" spans="1:24" x14ac:dyDescent="0.2">
      <c r="A38" s="290" t="s">
        <v>828</v>
      </c>
      <c r="B38" s="290" t="s">
        <v>645</v>
      </c>
      <c r="C38" s="290" t="s">
        <v>349</v>
      </c>
      <c r="D38" s="290" t="s">
        <v>16</v>
      </c>
      <c r="E38" s="290" t="s">
        <v>16</v>
      </c>
      <c r="F38" s="290" t="s">
        <v>16</v>
      </c>
      <c r="G38" s="290" t="s">
        <v>16</v>
      </c>
      <c r="H38" s="290" t="s">
        <v>16</v>
      </c>
      <c r="I38" s="290" t="s">
        <v>16</v>
      </c>
      <c r="J38" s="290" t="s">
        <v>16</v>
      </c>
      <c r="K38" s="290">
        <v>128</v>
      </c>
      <c r="L38" s="290" t="s">
        <v>16</v>
      </c>
      <c r="M38" s="290">
        <v>2761</v>
      </c>
      <c r="N38" s="290">
        <v>17</v>
      </c>
      <c r="O38" s="290">
        <v>730</v>
      </c>
      <c r="P38" s="290">
        <v>17</v>
      </c>
      <c r="Q38" s="290">
        <v>4</v>
      </c>
      <c r="R38" s="290" t="s">
        <v>16</v>
      </c>
      <c r="S38" s="290" t="s">
        <v>16</v>
      </c>
      <c r="T38" s="290" t="s">
        <v>16</v>
      </c>
      <c r="U38" s="290">
        <v>265</v>
      </c>
      <c r="V38" s="290">
        <v>15</v>
      </c>
      <c r="W38" s="290" t="s">
        <v>16</v>
      </c>
      <c r="X38" s="290">
        <v>18</v>
      </c>
    </row>
    <row r="39" spans="1:24" x14ac:dyDescent="0.2">
      <c r="A39" s="290" t="s">
        <v>829</v>
      </c>
      <c r="B39" s="290" t="s">
        <v>645</v>
      </c>
      <c r="C39" s="290" t="s">
        <v>783</v>
      </c>
      <c r="D39" s="290" t="s">
        <v>16</v>
      </c>
      <c r="E39" s="290" t="s">
        <v>16</v>
      </c>
      <c r="F39" s="290" t="s">
        <v>16</v>
      </c>
      <c r="G39" s="290" t="s">
        <v>16</v>
      </c>
      <c r="H39" s="290">
        <v>722</v>
      </c>
      <c r="I39" s="290" t="s">
        <v>16</v>
      </c>
      <c r="J39" s="290" t="s">
        <v>16</v>
      </c>
      <c r="K39" s="290" t="s">
        <v>16</v>
      </c>
      <c r="L39" s="290" t="s">
        <v>16</v>
      </c>
      <c r="M39" s="290" t="s">
        <v>16</v>
      </c>
      <c r="N39" s="290" t="s">
        <v>16</v>
      </c>
      <c r="O39" s="290" t="s">
        <v>16</v>
      </c>
      <c r="P39" s="290" t="s">
        <v>16</v>
      </c>
      <c r="Q39" s="290" t="s">
        <v>16</v>
      </c>
      <c r="R39" s="290" t="s">
        <v>16</v>
      </c>
      <c r="S39" s="290" t="s">
        <v>16</v>
      </c>
      <c r="T39" s="290" t="s">
        <v>16</v>
      </c>
      <c r="U39" s="290" t="s">
        <v>16</v>
      </c>
      <c r="V39" s="290" t="s">
        <v>16</v>
      </c>
      <c r="W39" s="290" t="s">
        <v>16</v>
      </c>
      <c r="X39" s="290" t="s">
        <v>16</v>
      </c>
    </row>
    <row r="40" spans="1:24" x14ac:dyDescent="0.2">
      <c r="A40" s="290" t="s">
        <v>688</v>
      </c>
      <c r="B40" s="290" t="s">
        <v>645</v>
      </c>
      <c r="C40" s="290" t="s">
        <v>782</v>
      </c>
      <c r="D40" s="290">
        <v>417</v>
      </c>
      <c r="E40" s="290" t="s">
        <v>16</v>
      </c>
      <c r="F40" s="290" t="s">
        <v>16</v>
      </c>
      <c r="G40" s="290" t="s">
        <v>16</v>
      </c>
      <c r="H40" s="290" t="s">
        <v>16</v>
      </c>
      <c r="I40" s="290" t="s">
        <v>16</v>
      </c>
      <c r="J40" s="290" t="s">
        <v>16</v>
      </c>
      <c r="K40" s="290" t="s">
        <v>16</v>
      </c>
      <c r="L40" s="290" t="s">
        <v>16</v>
      </c>
      <c r="M40" s="290" t="s">
        <v>16</v>
      </c>
      <c r="N40" s="290" t="s">
        <v>16</v>
      </c>
      <c r="O40" s="290" t="s">
        <v>16</v>
      </c>
      <c r="P40" s="290" t="s">
        <v>16</v>
      </c>
      <c r="Q40" s="290" t="s">
        <v>16</v>
      </c>
      <c r="R40" s="290" t="s">
        <v>16</v>
      </c>
      <c r="S40" s="290" t="s">
        <v>16</v>
      </c>
      <c r="T40" s="290" t="s">
        <v>16</v>
      </c>
      <c r="U40" s="290" t="s">
        <v>16</v>
      </c>
      <c r="V40" s="290" t="s">
        <v>16</v>
      </c>
      <c r="W40" s="290" t="s">
        <v>16</v>
      </c>
      <c r="X40" s="290" t="s">
        <v>16</v>
      </c>
    </row>
    <row r="41" spans="1:24" x14ac:dyDescent="0.2">
      <c r="A41" s="290" t="s">
        <v>687</v>
      </c>
      <c r="B41" s="290" t="s">
        <v>645</v>
      </c>
      <c r="C41" s="290" t="s">
        <v>781</v>
      </c>
      <c r="D41" s="290" t="s">
        <v>16</v>
      </c>
      <c r="E41" s="290" t="s">
        <v>16</v>
      </c>
      <c r="F41" s="290" t="s">
        <v>16</v>
      </c>
      <c r="G41" s="290" t="s">
        <v>16</v>
      </c>
      <c r="H41" s="290" t="s">
        <v>16</v>
      </c>
      <c r="I41" s="290">
        <v>554</v>
      </c>
      <c r="J41" s="290">
        <v>612</v>
      </c>
      <c r="K41" s="290">
        <v>722</v>
      </c>
      <c r="L41" s="290" t="s">
        <v>16</v>
      </c>
      <c r="M41" s="290" t="s">
        <v>16</v>
      </c>
      <c r="N41" s="290" t="s">
        <v>16</v>
      </c>
      <c r="O41" s="290" t="s">
        <v>16</v>
      </c>
      <c r="P41" s="290" t="s">
        <v>16</v>
      </c>
      <c r="Q41" s="290" t="s">
        <v>16</v>
      </c>
      <c r="R41" s="290" t="s">
        <v>16</v>
      </c>
      <c r="S41" s="290" t="s">
        <v>16</v>
      </c>
      <c r="T41" s="290" t="s">
        <v>16</v>
      </c>
      <c r="U41" s="290" t="s">
        <v>16</v>
      </c>
      <c r="V41" s="290" t="s">
        <v>16</v>
      </c>
      <c r="W41" s="290" t="s">
        <v>16</v>
      </c>
      <c r="X41" s="290" t="s">
        <v>16</v>
      </c>
    </row>
    <row r="42" spans="1:24" x14ac:dyDescent="0.2">
      <c r="A42" s="290" t="s">
        <v>721</v>
      </c>
      <c r="B42" s="290" t="s">
        <v>645</v>
      </c>
      <c r="C42" s="290" t="s">
        <v>780</v>
      </c>
      <c r="D42" s="290" t="s">
        <v>16</v>
      </c>
      <c r="E42" s="290" t="s">
        <v>16</v>
      </c>
      <c r="F42" s="290">
        <v>681</v>
      </c>
      <c r="G42" s="290">
        <v>1689</v>
      </c>
      <c r="H42" s="290">
        <v>723</v>
      </c>
      <c r="I42" s="290" t="s">
        <v>16</v>
      </c>
      <c r="J42" s="290" t="s">
        <v>16</v>
      </c>
      <c r="K42" s="290">
        <v>11</v>
      </c>
      <c r="L42" s="290">
        <v>337</v>
      </c>
      <c r="M42" s="290">
        <v>661</v>
      </c>
      <c r="N42" s="290">
        <v>24</v>
      </c>
      <c r="O42" s="290" t="s">
        <v>16</v>
      </c>
      <c r="P42" s="290" t="s">
        <v>16</v>
      </c>
      <c r="Q42" s="290" t="s">
        <v>16</v>
      </c>
      <c r="R42" s="290" t="s">
        <v>16</v>
      </c>
      <c r="S42" s="290" t="s">
        <v>16</v>
      </c>
      <c r="T42" s="290" t="s">
        <v>16</v>
      </c>
      <c r="U42" s="290" t="s">
        <v>16</v>
      </c>
      <c r="V42" s="290" t="s">
        <v>16</v>
      </c>
      <c r="W42" s="290" t="s">
        <v>16</v>
      </c>
      <c r="X42" s="290" t="s">
        <v>16</v>
      </c>
    </row>
    <row r="43" spans="1:24" x14ac:dyDescent="0.2">
      <c r="A43" s="290" t="s">
        <v>686</v>
      </c>
      <c r="B43" s="290" t="s">
        <v>645</v>
      </c>
      <c r="C43" s="290" t="s">
        <v>369</v>
      </c>
      <c r="D43" s="290" t="s">
        <v>16</v>
      </c>
      <c r="E43" s="290">
        <v>1080</v>
      </c>
      <c r="F43" s="290">
        <v>243</v>
      </c>
      <c r="G43" s="290">
        <v>22</v>
      </c>
      <c r="H43" s="290" t="s">
        <v>16</v>
      </c>
      <c r="I43" s="290">
        <v>158</v>
      </c>
      <c r="J43" s="290">
        <v>954</v>
      </c>
      <c r="K43" s="290">
        <v>10755</v>
      </c>
      <c r="L43" s="290">
        <v>165</v>
      </c>
      <c r="M43" s="290">
        <v>17</v>
      </c>
      <c r="N43" s="290">
        <v>64</v>
      </c>
      <c r="O43" s="290">
        <v>100</v>
      </c>
      <c r="P43" s="290">
        <v>96</v>
      </c>
      <c r="Q43" s="290">
        <v>174</v>
      </c>
      <c r="R43" s="290" t="s">
        <v>16</v>
      </c>
      <c r="S43" s="290">
        <v>102</v>
      </c>
      <c r="T43" s="290">
        <v>64569</v>
      </c>
      <c r="U43" s="290">
        <v>85</v>
      </c>
      <c r="V43" s="290">
        <v>768</v>
      </c>
      <c r="W43" s="290">
        <v>21</v>
      </c>
      <c r="X43" s="290" t="s">
        <v>16</v>
      </c>
    </row>
    <row r="44" spans="1:24" x14ac:dyDescent="0.2">
      <c r="A44" s="290" t="s">
        <v>685</v>
      </c>
      <c r="B44" s="290" t="s">
        <v>645</v>
      </c>
      <c r="C44" s="290" t="s">
        <v>779</v>
      </c>
      <c r="D44" s="290">
        <v>148</v>
      </c>
      <c r="E44" s="290" t="s">
        <v>16</v>
      </c>
      <c r="F44" s="290">
        <v>38</v>
      </c>
      <c r="G44" s="290" t="s">
        <v>16</v>
      </c>
      <c r="H44" s="290" t="s">
        <v>16</v>
      </c>
      <c r="I44" s="290">
        <v>144</v>
      </c>
      <c r="J44" s="290" t="s">
        <v>16</v>
      </c>
      <c r="K44" s="290" t="s">
        <v>16</v>
      </c>
      <c r="L44" s="290" t="s">
        <v>16</v>
      </c>
      <c r="M44" s="290" t="s">
        <v>16</v>
      </c>
      <c r="N44" s="290" t="s">
        <v>16</v>
      </c>
      <c r="O44" s="290" t="s">
        <v>16</v>
      </c>
      <c r="P44" s="290" t="s">
        <v>16</v>
      </c>
      <c r="Q44" s="290" t="s">
        <v>16</v>
      </c>
      <c r="R44" s="290" t="s">
        <v>16</v>
      </c>
      <c r="S44" s="290" t="s">
        <v>16</v>
      </c>
      <c r="T44" s="290" t="s">
        <v>16</v>
      </c>
      <c r="U44" s="290" t="s">
        <v>16</v>
      </c>
      <c r="V44" s="290" t="s">
        <v>16</v>
      </c>
      <c r="W44" s="290" t="s">
        <v>16</v>
      </c>
      <c r="X44" s="290" t="s">
        <v>16</v>
      </c>
    </row>
    <row r="45" spans="1:24" x14ac:dyDescent="0.2">
      <c r="A45" s="290" t="s">
        <v>723</v>
      </c>
      <c r="B45" s="290" t="s">
        <v>645</v>
      </c>
      <c r="C45" s="290" t="s">
        <v>355</v>
      </c>
      <c r="D45" s="290" t="s">
        <v>16</v>
      </c>
      <c r="E45" s="290" t="s">
        <v>16</v>
      </c>
      <c r="F45" s="290" t="s">
        <v>16</v>
      </c>
      <c r="G45" s="290" t="s">
        <v>16</v>
      </c>
      <c r="H45" s="290" t="s">
        <v>16</v>
      </c>
      <c r="I45" s="290" t="s">
        <v>16</v>
      </c>
      <c r="J45" s="290" t="s">
        <v>16</v>
      </c>
      <c r="K45" s="290">
        <v>27</v>
      </c>
      <c r="L45" s="290" t="s">
        <v>16</v>
      </c>
      <c r="M45" s="290">
        <v>40</v>
      </c>
      <c r="N45" s="290" t="s">
        <v>16</v>
      </c>
      <c r="O45" s="290">
        <v>14</v>
      </c>
      <c r="P45" s="290">
        <v>18</v>
      </c>
      <c r="Q45" s="290" t="s">
        <v>16</v>
      </c>
      <c r="R45" s="290">
        <v>59</v>
      </c>
      <c r="S45" s="290">
        <v>20</v>
      </c>
      <c r="T45" s="290">
        <v>39</v>
      </c>
      <c r="U45" s="290">
        <v>246</v>
      </c>
      <c r="V45" s="290" t="s">
        <v>16</v>
      </c>
      <c r="W45" s="290">
        <v>44030</v>
      </c>
      <c r="X45" s="290">
        <v>279561</v>
      </c>
    </row>
    <row r="46" spans="1:24" x14ac:dyDescent="0.2">
      <c r="A46" s="290" t="s">
        <v>724</v>
      </c>
      <c r="B46" s="290" t="s">
        <v>645</v>
      </c>
      <c r="C46" s="290" t="s">
        <v>778</v>
      </c>
      <c r="D46" s="290" t="s">
        <v>16</v>
      </c>
      <c r="E46" s="290" t="s">
        <v>16</v>
      </c>
      <c r="F46" s="290" t="s">
        <v>16</v>
      </c>
      <c r="G46" s="290" t="s">
        <v>16</v>
      </c>
      <c r="H46" s="290" t="s">
        <v>16</v>
      </c>
      <c r="I46" s="290" t="s">
        <v>16</v>
      </c>
      <c r="J46" s="290" t="s">
        <v>16</v>
      </c>
      <c r="K46" s="290" t="s">
        <v>16</v>
      </c>
      <c r="L46" s="290" t="s">
        <v>16</v>
      </c>
      <c r="M46" s="290" t="s">
        <v>16</v>
      </c>
      <c r="N46" s="290">
        <v>21</v>
      </c>
      <c r="O46" s="290" t="s">
        <v>16</v>
      </c>
      <c r="P46" s="290" t="s">
        <v>16</v>
      </c>
      <c r="Q46" s="290" t="s">
        <v>16</v>
      </c>
      <c r="R46" s="290" t="s">
        <v>16</v>
      </c>
      <c r="S46" s="290" t="s">
        <v>16</v>
      </c>
      <c r="T46" s="290">
        <v>10</v>
      </c>
      <c r="U46" s="290" t="s">
        <v>16</v>
      </c>
      <c r="V46" s="290" t="s">
        <v>16</v>
      </c>
      <c r="W46" s="290" t="s">
        <v>16</v>
      </c>
      <c r="X46" s="290" t="s">
        <v>16</v>
      </c>
    </row>
    <row r="47" spans="1:24" x14ac:dyDescent="0.2">
      <c r="A47" s="290" t="s">
        <v>684</v>
      </c>
      <c r="B47" s="290" t="s">
        <v>645</v>
      </c>
      <c r="C47" s="290" t="s">
        <v>777</v>
      </c>
      <c r="D47" s="290" t="s">
        <v>16</v>
      </c>
      <c r="E47" s="290" t="s">
        <v>16</v>
      </c>
      <c r="F47" s="290" t="s">
        <v>16</v>
      </c>
      <c r="G47" s="290" t="s">
        <v>16</v>
      </c>
      <c r="H47" s="290" t="s">
        <v>16</v>
      </c>
      <c r="I47" s="290" t="s">
        <v>16</v>
      </c>
      <c r="J47" s="290" t="s">
        <v>16</v>
      </c>
      <c r="K47" s="290" t="s">
        <v>16</v>
      </c>
      <c r="L47" s="290" t="s">
        <v>16</v>
      </c>
      <c r="M47" s="290" t="s">
        <v>16</v>
      </c>
      <c r="N47" s="290">
        <v>182</v>
      </c>
      <c r="O47" s="290" t="s">
        <v>16</v>
      </c>
      <c r="P47" s="290" t="s">
        <v>16</v>
      </c>
      <c r="Q47" s="290" t="s">
        <v>16</v>
      </c>
      <c r="R47" s="290" t="s">
        <v>16</v>
      </c>
      <c r="S47" s="290" t="s">
        <v>16</v>
      </c>
      <c r="T47" s="290" t="s">
        <v>16</v>
      </c>
      <c r="U47" s="290" t="s">
        <v>16</v>
      </c>
      <c r="V47" s="290" t="s">
        <v>16</v>
      </c>
      <c r="W47" s="290" t="s">
        <v>16</v>
      </c>
      <c r="X47" s="290" t="s">
        <v>16</v>
      </c>
    </row>
    <row r="48" spans="1:24" x14ac:dyDescent="0.2">
      <c r="A48" s="290" t="s">
        <v>683</v>
      </c>
      <c r="B48" s="290" t="s">
        <v>645</v>
      </c>
      <c r="C48" s="290" t="s">
        <v>362</v>
      </c>
      <c r="D48" s="290" t="s">
        <v>16</v>
      </c>
      <c r="E48" s="290" t="s">
        <v>16</v>
      </c>
      <c r="F48" s="290" t="s">
        <v>16</v>
      </c>
      <c r="G48" s="290">
        <v>22</v>
      </c>
      <c r="H48" s="290" t="s">
        <v>16</v>
      </c>
      <c r="I48" s="290">
        <v>245</v>
      </c>
      <c r="J48" s="290" t="s">
        <v>16</v>
      </c>
      <c r="K48" s="290">
        <v>400</v>
      </c>
      <c r="L48" s="290" t="s">
        <v>16</v>
      </c>
      <c r="M48" s="290" t="s">
        <v>16</v>
      </c>
      <c r="N48" s="290" t="s">
        <v>16</v>
      </c>
      <c r="O48" s="290">
        <v>18</v>
      </c>
      <c r="P48" s="290" t="s">
        <v>16</v>
      </c>
      <c r="Q48" s="290" t="s">
        <v>16</v>
      </c>
      <c r="R48" s="290" t="s">
        <v>16</v>
      </c>
      <c r="S48" s="290">
        <v>96</v>
      </c>
      <c r="T48" s="290" t="s">
        <v>16</v>
      </c>
      <c r="U48" s="290">
        <v>97</v>
      </c>
      <c r="V48" s="290" t="s">
        <v>16</v>
      </c>
      <c r="W48" s="290" t="s">
        <v>16</v>
      </c>
      <c r="X48" s="290">
        <v>20</v>
      </c>
    </row>
    <row r="49" spans="1:24" x14ac:dyDescent="0.2">
      <c r="A49" s="290" t="s">
        <v>830</v>
      </c>
      <c r="B49" s="290" t="s">
        <v>645</v>
      </c>
      <c r="C49" s="290" t="s">
        <v>776</v>
      </c>
      <c r="D49" s="290">
        <v>1123</v>
      </c>
      <c r="E49" s="290" t="s">
        <v>16</v>
      </c>
      <c r="F49" s="290" t="s">
        <v>16</v>
      </c>
      <c r="G49" s="290" t="s">
        <v>16</v>
      </c>
      <c r="H49" s="290">
        <v>2030</v>
      </c>
      <c r="I49" s="290">
        <v>245</v>
      </c>
      <c r="J49" s="290">
        <v>6571</v>
      </c>
      <c r="K49" s="290">
        <v>8074</v>
      </c>
      <c r="L49" s="290">
        <v>11411</v>
      </c>
      <c r="M49" s="290">
        <v>16243</v>
      </c>
      <c r="N49" s="290" t="s">
        <v>16</v>
      </c>
      <c r="O49" s="290" t="s">
        <v>16</v>
      </c>
      <c r="P49" s="290">
        <v>47</v>
      </c>
      <c r="Q49" s="290" t="s">
        <v>16</v>
      </c>
      <c r="R49" s="290" t="s">
        <v>16</v>
      </c>
      <c r="S49" s="290" t="s">
        <v>16</v>
      </c>
      <c r="T49" s="290" t="s">
        <v>16</v>
      </c>
      <c r="U49" s="290" t="s">
        <v>16</v>
      </c>
      <c r="V49" s="290" t="s">
        <v>16</v>
      </c>
      <c r="W49" s="290" t="s">
        <v>16</v>
      </c>
      <c r="X49" s="290" t="s">
        <v>16</v>
      </c>
    </row>
    <row r="50" spans="1:24" x14ac:dyDescent="0.2">
      <c r="A50" s="290" t="s">
        <v>725</v>
      </c>
      <c r="B50" s="290" t="s">
        <v>645</v>
      </c>
      <c r="C50" s="290" t="s">
        <v>775</v>
      </c>
      <c r="D50" s="290" t="s">
        <v>16</v>
      </c>
      <c r="E50" s="290" t="s">
        <v>16</v>
      </c>
      <c r="F50" s="290" t="s">
        <v>16</v>
      </c>
      <c r="G50" s="290" t="s">
        <v>16</v>
      </c>
      <c r="H50" s="290" t="s">
        <v>16</v>
      </c>
      <c r="I50" s="290" t="s">
        <v>16</v>
      </c>
      <c r="J50" s="290" t="s">
        <v>16</v>
      </c>
      <c r="K50" s="290" t="s">
        <v>16</v>
      </c>
      <c r="L50" s="290" t="s">
        <v>16</v>
      </c>
      <c r="M50" s="290" t="s">
        <v>16</v>
      </c>
      <c r="N50" s="290">
        <v>767</v>
      </c>
      <c r="O50" s="290">
        <v>581</v>
      </c>
      <c r="P50" s="290">
        <v>467</v>
      </c>
      <c r="Q50" s="290" t="s">
        <v>16</v>
      </c>
      <c r="R50" s="290" t="s">
        <v>16</v>
      </c>
      <c r="S50" s="290" t="s">
        <v>16</v>
      </c>
      <c r="T50" s="290" t="s">
        <v>16</v>
      </c>
      <c r="U50" s="290" t="s">
        <v>16</v>
      </c>
      <c r="V50" s="290" t="s">
        <v>16</v>
      </c>
      <c r="W50" s="290" t="s">
        <v>16</v>
      </c>
      <c r="X50" s="290" t="s">
        <v>16</v>
      </c>
    </row>
    <row r="51" spans="1:24" x14ac:dyDescent="0.2">
      <c r="A51" s="290" t="s">
        <v>682</v>
      </c>
      <c r="B51" s="290" t="s">
        <v>645</v>
      </c>
      <c r="C51" s="290" t="s">
        <v>774</v>
      </c>
      <c r="D51" s="290">
        <v>13228</v>
      </c>
      <c r="E51" s="290">
        <v>27603</v>
      </c>
      <c r="F51" s="290" t="s">
        <v>16</v>
      </c>
      <c r="G51" s="290" t="s">
        <v>16</v>
      </c>
      <c r="H51" s="290" t="s">
        <v>16</v>
      </c>
      <c r="I51" s="290" t="s">
        <v>16</v>
      </c>
      <c r="J51" s="290" t="s">
        <v>16</v>
      </c>
      <c r="K51" s="290" t="s">
        <v>16</v>
      </c>
      <c r="L51" s="290" t="s">
        <v>16</v>
      </c>
      <c r="M51" s="290" t="s">
        <v>16</v>
      </c>
      <c r="N51" s="290" t="s">
        <v>16</v>
      </c>
      <c r="O51" s="290">
        <v>66690</v>
      </c>
      <c r="P51" s="290" t="s">
        <v>16</v>
      </c>
      <c r="Q51" s="290" t="s">
        <v>16</v>
      </c>
      <c r="R51" s="290" t="s">
        <v>16</v>
      </c>
      <c r="S51" s="290" t="s">
        <v>16</v>
      </c>
      <c r="T51" s="290" t="s">
        <v>16</v>
      </c>
      <c r="U51" s="290" t="s">
        <v>16</v>
      </c>
      <c r="V51" s="290" t="s">
        <v>16</v>
      </c>
      <c r="W51" s="290" t="s">
        <v>16</v>
      </c>
      <c r="X51" s="290" t="s">
        <v>16</v>
      </c>
    </row>
    <row r="52" spans="1:24" x14ac:dyDescent="0.2">
      <c r="A52" s="290" t="s">
        <v>681</v>
      </c>
      <c r="B52" s="290" t="s">
        <v>645</v>
      </c>
      <c r="C52" s="290" t="s">
        <v>773</v>
      </c>
      <c r="D52" s="290" t="s">
        <v>16</v>
      </c>
      <c r="E52" s="290">
        <v>44</v>
      </c>
      <c r="F52" s="290">
        <v>44</v>
      </c>
      <c r="G52" s="290">
        <v>22</v>
      </c>
      <c r="H52" s="290">
        <v>22</v>
      </c>
      <c r="I52" s="290">
        <v>44</v>
      </c>
      <c r="J52" s="290">
        <v>22</v>
      </c>
      <c r="K52" s="290" t="s">
        <v>16</v>
      </c>
      <c r="L52" s="290" t="s">
        <v>16</v>
      </c>
      <c r="M52" s="290" t="s">
        <v>16</v>
      </c>
      <c r="N52" s="290" t="s">
        <v>16</v>
      </c>
      <c r="O52" s="290">
        <v>6</v>
      </c>
      <c r="P52" s="290">
        <v>4</v>
      </c>
      <c r="Q52" s="290" t="s">
        <v>16</v>
      </c>
      <c r="R52" s="290" t="s">
        <v>16</v>
      </c>
      <c r="S52" s="290" t="s">
        <v>16</v>
      </c>
      <c r="T52" s="290" t="s">
        <v>16</v>
      </c>
      <c r="U52" s="290" t="s">
        <v>16</v>
      </c>
      <c r="V52" s="290" t="s">
        <v>16</v>
      </c>
      <c r="W52" s="290" t="s">
        <v>16</v>
      </c>
      <c r="X52" s="290">
        <v>20</v>
      </c>
    </row>
    <row r="53" spans="1:24" x14ac:dyDescent="0.2">
      <c r="A53" s="290" t="s">
        <v>680</v>
      </c>
      <c r="B53" s="290" t="s">
        <v>645</v>
      </c>
      <c r="C53" s="290" t="s">
        <v>366</v>
      </c>
      <c r="D53" s="290" t="s">
        <v>16</v>
      </c>
      <c r="E53" s="290" t="s">
        <v>16</v>
      </c>
      <c r="F53" s="290" t="s">
        <v>16</v>
      </c>
      <c r="G53" s="290" t="s">
        <v>16</v>
      </c>
      <c r="H53" s="290" t="s">
        <v>16</v>
      </c>
      <c r="I53" s="290" t="s">
        <v>16</v>
      </c>
      <c r="J53" s="290">
        <v>715</v>
      </c>
      <c r="K53" s="290" t="s">
        <v>16</v>
      </c>
      <c r="L53" s="290" t="s">
        <v>16</v>
      </c>
      <c r="M53" s="290" t="s">
        <v>16</v>
      </c>
      <c r="N53" s="290" t="s">
        <v>16</v>
      </c>
      <c r="O53" s="290">
        <v>688081</v>
      </c>
      <c r="P53" s="290">
        <v>1295483</v>
      </c>
      <c r="Q53" s="290">
        <v>136322</v>
      </c>
      <c r="R53" s="290" t="s">
        <v>16</v>
      </c>
      <c r="S53" s="290" t="s">
        <v>16</v>
      </c>
      <c r="T53" s="290">
        <v>21</v>
      </c>
      <c r="U53" s="290">
        <v>137699</v>
      </c>
      <c r="V53" s="290">
        <v>20</v>
      </c>
      <c r="W53" s="290">
        <v>22</v>
      </c>
      <c r="X53" s="290">
        <v>54</v>
      </c>
    </row>
    <row r="54" spans="1:24" x14ac:dyDescent="0.2">
      <c r="A54" s="290" t="s">
        <v>831</v>
      </c>
      <c r="B54" s="290" t="s">
        <v>645</v>
      </c>
      <c r="C54" s="290" t="s">
        <v>772</v>
      </c>
      <c r="D54" s="290" t="s">
        <v>16</v>
      </c>
      <c r="E54" s="290" t="s">
        <v>16</v>
      </c>
      <c r="F54" s="290" t="s">
        <v>16</v>
      </c>
      <c r="G54" s="290" t="s">
        <v>16</v>
      </c>
      <c r="H54" s="290" t="s">
        <v>16</v>
      </c>
      <c r="I54" s="290" t="s">
        <v>16</v>
      </c>
      <c r="J54" s="290" t="s">
        <v>16</v>
      </c>
      <c r="K54" s="290" t="s">
        <v>16</v>
      </c>
      <c r="L54" s="290">
        <v>239</v>
      </c>
      <c r="M54" s="290" t="s">
        <v>16</v>
      </c>
      <c r="N54" s="290" t="s">
        <v>16</v>
      </c>
      <c r="O54" s="290" t="s">
        <v>16</v>
      </c>
      <c r="P54" s="290">
        <v>20</v>
      </c>
      <c r="Q54" s="290" t="s">
        <v>16</v>
      </c>
      <c r="R54" s="290" t="s">
        <v>16</v>
      </c>
      <c r="S54" s="290" t="s">
        <v>16</v>
      </c>
      <c r="T54" s="290" t="s">
        <v>16</v>
      </c>
      <c r="U54" s="290" t="s">
        <v>16</v>
      </c>
      <c r="V54" s="290" t="s">
        <v>16</v>
      </c>
      <c r="W54" s="290" t="s">
        <v>16</v>
      </c>
      <c r="X54" s="290" t="s">
        <v>16</v>
      </c>
    </row>
    <row r="55" spans="1:24" x14ac:dyDescent="0.2">
      <c r="A55" s="290" t="s">
        <v>679</v>
      </c>
      <c r="B55" s="290" t="s">
        <v>645</v>
      </c>
      <c r="C55" s="290" t="s">
        <v>771</v>
      </c>
      <c r="D55" s="290" t="s">
        <v>16</v>
      </c>
      <c r="E55" s="290" t="s">
        <v>16</v>
      </c>
      <c r="F55" s="290" t="s">
        <v>16</v>
      </c>
      <c r="G55" s="290" t="s">
        <v>16</v>
      </c>
      <c r="H55" s="290" t="s">
        <v>16</v>
      </c>
      <c r="I55" s="290" t="s">
        <v>16</v>
      </c>
      <c r="J55" s="290" t="s">
        <v>16</v>
      </c>
      <c r="K55" s="290" t="s">
        <v>16</v>
      </c>
      <c r="L55" s="290" t="s">
        <v>16</v>
      </c>
      <c r="M55" s="290" t="s">
        <v>16</v>
      </c>
      <c r="N55" s="290">
        <v>11</v>
      </c>
      <c r="O55" s="290" t="s">
        <v>16</v>
      </c>
      <c r="P55" s="290" t="s">
        <v>16</v>
      </c>
      <c r="Q55" s="290" t="s">
        <v>16</v>
      </c>
      <c r="R55" s="290" t="s">
        <v>16</v>
      </c>
      <c r="S55" s="290" t="s">
        <v>16</v>
      </c>
      <c r="T55" s="290" t="s">
        <v>16</v>
      </c>
      <c r="U55" s="290" t="s">
        <v>16</v>
      </c>
      <c r="V55" s="290" t="s">
        <v>16</v>
      </c>
      <c r="W55" s="290" t="s">
        <v>16</v>
      </c>
      <c r="X55" s="290">
        <v>24</v>
      </c>
    </row>
    <row r="56" spans="1:24" x14ac:dyDescent="0.2">
      <c r="A56" s="290" t="s">
        <v>678</v>
      </c>
      <c r="B56" s="290" t="s">
        <v>645</v>
      </c>
      <c r="C56" s="290" t="s">
        <v>363</v>
      </c>
      <c r="D56" s="290" t="s">
        <v>16</v>
      </c>
      <c r="E56" s="290" t="s">
        <v>16</v>
      </c>
      <c r="F56" s="290" t="s">
        <v>16</v>
      </c>
      <c r="G56" s="290" t="s">
        <v>16</v>
      </c>
      <c r="H56" s="290" t="s">
        <v>16</v>
      </c>
      <c r="I56" s="290" t="s">
        <v>16</v>
      </c>
      <c r="J56" s="290" t="s">
        <v>16</v>
      </c>
      <c r="K56" s="290" t="s">
        <v>16</v>
      </c>
      <c r="L56" s="290">
        <v>22</v>
      </c>
      <c r="M56" s="290" t="s">
        <v>16</v>
      </c>
      <c r="N56" s="290" t="s">
        <v>16</v>
      </c>
      <c r="O56" s="290" t="s">
        <v>16</v>
      </c>
      <c r="P56" s="290" t="s">
        <v>16</v>
      </c>
      <c r="Q56" s="290">
        <v>55116</v>
      </c>
      <c r="R56" s="290">
        <v>14881</v>
      </c>
      <c r="S56" s="290" t="s">
        <v>16</v>
      </c>
      <c r="T56" s="290">
        <v>66695</v>
      </c>
      <c r="U56" s="290">
        <v>199086</v>
      </c>
      <c r="V56" s="290" t="s">
        <v>16</v>
      </c>
      <c r="W56" s="290" t="s">
        <v>16</v>
      </c>
      <c r="X56" s="290" t="s">
        <v>16</v>
      </c>
    </row>
    <row r="57" spans="1:24" x14ac:dyDescent="0.2">
      <c r="A57" s="290" t="s">
        <v>677</v>
      </c>
      <c r="B57" s="290" t="s">
        <v>645</v>
      </c>
      <c r="C57" s="290" t="s">
        <v>770</v>
      </c>
      <c r="D57" s="290" t="s">
        <v>16</v>
      </c>
      <c r="E57" s="290">
        <v>147</v>
      </c>
      <c r="F57" s="290" t="s">
        <v>16</v>
      </c>
      <c r="G57" s="290">
        <v>132</v>
      </c>
      <c r="H57" s="290">
        <v>153</v>
      </c>
      <c r="I57" s="290" t="s">
        <v>16</v>
      </c>
      <c r="J57" s="290">
        <v>245</v>
      </c>
      <c r="K57" s="290" t="s">
        <v>16</v>
      </c>
      <c r="L57" s="290">
        <v>20</v>
      </c>
      <c r="M57" s="290">
        <v>80</v>
      </c>
      <c r="N57" s="290" t="s">
        <v>16</v>
      </c>
      <c r="O57" s="290" t="s">
        <v>16</v>
      </c>
      <c r="P57" s="290" t="s">
        <v>16</v>
      </c>
      <c r="Q57" s="290" t="s">
        <v>16</v>
      </c>
      <c r="R57" s="290" t="s">
        <v>16</v>
      </c>
      <c r="S57" s="290" t="s">
        <v>16</v>
      </c>
      <c r="T57" s="290" t="s">
        <v>16</v>
      </c>
      <c r="U57" s="290" t="s">
        <v>16</v>
      </c>
      <c r="V57" s="290" t="s">
        <v>16</v>
      </c>
      <c r="W57" s="290" t="s">
        <v>16</v>
      </c>
      <c r="X57" s="290">
        <v>22</v>
      </c>
    </row>
    <row r="58" spans="1:24" x14ac:dyDescent="0.2">
      <c r="A58" s="290" t="s">
        <v>832</v>
      </c>
      <c r="B58" s="290" t="s">
        <v>645</v>
      </c>
      <c r="C58" s="290" t="s">
        <v>769</v>
      </c>
      <c r="D58" s="290" t="s">
        <v>16</v>
      </c>
      <c r="E58" s="290" t="s">
        <v>16</v>
      </c>
      <c r="F58" s="290" t="s">
        <v>16</v>
      </c>
      <c r="G58" s="290">
        <v>3404</v>
      </c>
      <c r="H58" s="290">
        <v>4161</v>
      </c>
      <c r="I58" s="290">
        <v>6880</v>
      </c>
      <c r="J58" s="290">
        <v>1476</v>
      </c>
      <c r="K58" s="290">
        <v>1394</v>
      </c>
      <c r="L58" s="290">
        <v>2546</v>
      </c>
      <c r="M58" s="290">
        <v>4420</v>
      </c>
      <c r="N58" s="290">
        <v>1197</v>
      </c>
      <c r="O58" s="290" t="s">
        <v>16</v>
      </c>
      <c r="P58" s="290" t="s">
        <v>16</v>
      </c>
      <c r="Q58" s="290" t="s">
        <v>16</v>
      </c>
      <c r="R58" s="290" t="s">
        <v>16</v>
      </c>
      <c r="S58" s="290" t="s">
        <v>16</v>
      </c>
      <c r="T58" s="290" t="s">
        <v>16</v>
      </c>
      <c r="U58" s="290" t="s">
        <v>16</v>
      </c>
      <c r="V58" s="290" t="s">
        <v>16</v>
      </c>
      <c r="W58" s="290" t="s">
        <v>16</v>
      </c>
      <c r="X58" s="290" t="s">
        <v>16</v>
      </c>
    </row>
    <row r="59" spans="1:24" x14ac:dyDescent="0.2">
      <c r="A59" s="290" t="s">
        <v>676</v>
      </c>
      <c r="B59" s="290" t="s">
        <v>645</v>
      </c>
      <c r="C59" s="290" t="s">
        <v>768</v>
      </c>
      <c r="D59" s="290" t="s">
        <v>16</v>
      </c>
      <c r="E59" s="290" t="s">
        <v>16</v>
      </c>
      <c r="F59" s="290" t="s">
        <v>16</v>
      </c>
      <c r="G59" s="290" t="s">
        <v>16</v>
      </c>
      <c r="H59" s="290" t="s">
        <v>16</v>
      </c>
      <c r="I59" s="290" t="s">
        <v>16</v>
      </c>
      <c r="J59" s="290" t="s">
        <v>16</v>
      </c>
      <c r="K59" s="290" t="s">
        <v>16</v>
      </c>
      <c r="L59" s="290" t="s">
        <v>16</v>
      </c>
      <c r="M59" s="290">
        <v>142</v>
      </c>
      <c r="N59" s="290" t="s">
        <v>16</v>
      </c>
      <c r="O59" s="290">
        <v>109</v>
      </c>
      <c r="P59" s="290" t="s">
        <v>16</v>
      </c>
      <c r="Q59" s="290" t="s">
        <v>16</v>
      </c>
      <c r="R59" s="290" t="s">
        <v>16</v>
      </c>
      <c r="S59" s="290" t="s">
        <v>16</v>
      </c>
      <c r="T59" s="290" t="s">
        <v>16</v>
      </c>
      <c r="U59" s="290" t="s">
        <v>16</v>
      </c>
      <c r="V59" s="290" t="s">
        <v>16</v>
      </c>
      <c r="W59" s="290" t="s">
        <v>16</v>
      </c>
      <c r="X59" s="290" t="s">
        <v>16</v>
      </c>
    </row>
    <row r="60" spans="1:24" x14ac:dyDescent="0.2">
      <c r="A60" s="290" t="s">
        <v>727</v>
      </c>
      <c r="B60" s="290" t="s">
        <v>645</v>
      </c>
      <c r="C60" s="290" t="s">
        <v>767</v>
      </c>
      <c r="D60" s="290" t="s">
        <v>16</v>
      </c>
      <c r="E60" s="290" t="s">
        <v>16</v>
      </c>
      <c r="F60" s="290" t="s">
        <v>16</v>
      </c>
      <c r="G60" s="290">
        <v>152</v>
      </c>
      <c r="H60" s="290" t="s">
        <v>16</v>
      </c>
      <c r="I60" s="290" t="s">
        <v>16</v>
      </c>
      <c r="J60" s="290">
        <v>151</v>
      </c>
      <c r="K60" s="290" t="s">
        <v>16</v>
      </c>
      <c r="L60" s="290" t="s">
        <v>16</v>
      </c>
      <c r="M60" s="290" t="s">
        <v>16</v>
      </c>
      <c r="N60" s="290" t="s">
        <v>16</v>
      </c>
      <c r="O60" s="290" t="s">
        <v>16</v>
      </c>
      <c r="P60" s="290" t="s">
        <v>16</v>
      </c>
      <c r="Q60" s="290" t="s">
        <v>16</v>
      </c>
      <c r="R60" s="290" t="s">
        <v>16</v>
      </c>
      <c r="S60" s="290" t="s">
        <v>16</v>
      </c>
      <c r="T60" s="290" t="s">
        <v>16</v>
      </c>
      <c r="U60" s="290" t="s">
        <v>16</v>
      </c>
      <c r="V60" s="290" t="s">
        <v>16</v>
      </c>
      <c r="W60" s="290" t="s">
        <v>16</v>
      </c>
      <c r="X60" s="290" t="s">
        <v>16</v>
      </c>
    </row>
    <row r="61" spans="1:24" x14ac:dyDescent="0.2">
      <c r="A61" s="290" t="s">
        <v>833</v>
      </c>
      <c r="B61" s="290" t="s">
        <v>645</v>
      </c>
      <c r="C61" s="290" t="s">
        <v>766</v>
      </c>
      <c r="D61" s="290" t="s">
        <v>16</v>
      </c>
      <c r="E61" s="290" t="s">
        <v>16</v>
      </c>
      <c r="F61" s="290" t="s">
        <v>16</v>
      </c>
      <c r="G61" s="290" t="s">
        <v>16</v>
      </c>
      <c r="H61" s="290" t="s">
        <v>16</v>
      </c>
      <c r="I61" s="290">
        <v>396</v>
      </c>
      <c r="J61" s="290">
        <v>1734</v>
      </c>
      <c r="K61" s="290">
        <v>2888</v>
      </c>
      <c r="L61" s="290">
        <v>4231</v>
      </c>
      <c r="M61" s="290" t="s">
        <v>16</v>
      </c>
      <c r="N61" s="290" t="s">
        <v>16</v>
      </c>
      <c r="O61" s="290" t="s">
        <v>16</v>
      </c>
      <c r="P61" s="290" t="s">
        <v>16</v>
      </c>
      <c r="Q61" s="290" t="s">
        <v>16</v>
      </c>
      <c r="R61" s="290" t="s">
        <v>16</v>
      </c>
      <c r="S61" s="290" t="s">
        <v>16</v>
      </c>
      <c r="T61" s="290" t="s">
        <v>16</v>
      </c>
      <c r="U61" s="290" t="s">
        <v>16</v>
      </c>
      <c r="V61" s="290" t="s">
        <v>16</v>
      </c>
      <c r="W61" s="290" t="s">
        <v>16</v>
      </c>
      <c r="X61" s="290" t="s">
        <v>16</v>
      </c>
    </row>
    <row r="62" spans="1:24" x14ac:dyDescent="0.2">
      <c r="A62" s="290" t="s">
        <v>834</v>
      </c>
      <c r="B62" s="290" t="s">
        <v>645</v>
      </c>
      <c r="C62" s="290" t="s">
        <v>765</v>
      </c>
      <c r="D62" s="290" t="s">
        <v>16</v>
      </c>
      <c r="E62" s="290" t="s">
        <v>16</v>
      </c>
      <c r="F62" s="290" t="s">
        <v>16</v>
      </c>
      <c r="G62" s="290" t="s">
        <v>16</v>
      </c>
      <c r="H62" s="290" t="s">
        <v>16</v>
      </c>
      <c r="I62" s="290" t="s">
        <v>16</v>
      </c>
      <c r="J62" s="290" t="s">
        <v>16</v>
      </c>
      <c r="K62" s="290" t="s">
        <v>16</v>
      </c>
      <c r="L62" s="290" t="s">
        <v>16</v>
      </c>
      <c r="M62" s="290" t="s">
        <v>16</v>
      </c>
      <c r="N62" s="290" t="s">
        <v>16</v>
      </c>
      <c r="O62" s="290" t="s">
        <v>16</v>
      </c>
      <c r="P62" s="290" t="s">
        <v>16</v>
      </c>
      <c r="Q62" s="290" t="s">
        <v>16</v>
      </c>
      <c r="R62" s="290" t="s">
        <v>16</v>
      </c>
      <c r="S62" s="290" t="s">
        <v>16</v>
      </c>
      <c r="T62" s="290" t="s">
        <v>16</v>
      </c>
      <c r="U62" s="290" t="s">
        <v>16</v>
      </c>
      <c r="V62" s="290" t="s">
        <v>16</v>
      </c>
      <c r="W62" s="290">
        <v>4</v>
      </c>
      <c r="X62" s="290" t="s">
        <v>16</v>
      </c>
    </row>
    <row r="63" spans="1:24" x14ac:dyDescent="0.2">
      <c r="A63" s="290" t="s">
        <v>835</v>
      </c>
      <c r="B63" s="290" t="s">
        <v>645</v>
      </c>
      <c r="C63" s="290" t="s">
        <v>764</v>
      </c>
      <c r="D63" s="290" t="s">
        <v>16</v>
      </c>
      <c r="E63" s="290" t="s">
        <v>16</v>
      </c>
      <c r="F63" s="290" t="s">
        <v>16</v>
      </c>
      <c r="G63" s="290" t="s">
        <v>16</v>
      </c>
      <c r="H63" s="290" t="s">
        <v>16</v>
      </c>
      <c r="I63" s="290" t="s">
        <v>16</v>
      </c>
      <c r="J63" s="290" t="s">
        <v>16</v>
      </c>
      <c r="K63" s="290" t="s">
        <v>16</v>
      </c>
      <c r="L63" s="290" t="s">
        <v>16</v>
      </c>
      <c r="M63" s="290" t="s">
        <v>16</v>
      </c>
      <c r="N63" s="290" t="s">
        <v>16</v>
      </c>
      <c r="O63" s="290">
        <v>2</v>
      </c>
      <c r="P63" s="290" t="s">
        <v>16</v>
      </c>
      <c r="Q63" s="290" t="s">
        <v>16</v>
      </c>
      <c r="R63" s="290" t="s">
        <v>16</v>
      </c>
      <c r="S63" s="290" t="s">
        <v>16</v>
      </c>
      <c r="T63" s="290" t="s">
        <v>16</v>
      </c>
      <c r="U63" s="290" t="s">
        <v>16</v>
      </c>
      <c r="V63" s="290" t="s">
        <v>16</v>
      </c>
      <c r="W63" s="290" t="s">
        <v>16</v>
      </c>
      <c r="X63" s="290">
        <v>38</v>
      </c>
    </row>
    <row r="64" spans="1:24" x14ac:dyDescent="0.2">
      <c r="A64" s="290" t="s">
        <v>674</v>
      </c>
      <c r="B64" s="290" t="s">
        <v>645</v>
      </c>
      <c r="C64" s="290" t="s">
        <v>763</v>
      </c>
      <c r="D64" s="290" t="s">
        <v>16</v>
      </c>
      <c r="E64" s="290">
        <v>1528</v>
      </c>
      <c r="F64" s="290">
        <v>12154</v>
      </c>
      <c r="G64" s="290">
        <v>21156</v>
      </c>
      <c r="H64" s="290">
        <v>4054</v>
      </c>
      <c r="I64" s="290">
        <v>10160</v>
      </c>
      <c r="J64" s="290">
        <v>12781</v>
      </c>
      <c r="K64" s="290">
        <v>1662</v>
      </c>
      <c r="L64" s="290" t="s">
        <v>16</v>
      </c>
      <c r="M64" s="290" t="s">
        <v>16</v>
      </c>
      <c r="N64" s="290" t="s">
        <v>16</v>
      </c>
      <c r="O64" s="290">
        <v>65890</v>
      </c>
      <c r="P64" s="290">
        <v>261361</v>
      </c>
      <c r="Q64" s="290">
        <v>33069</v>
      </c>
      <c r="R64" s="290" t="s">
        <v>16</v>
      </c>
      <c r="S64" s="290" t="s">
        <v>16</v>
      </c>
      <c r="T64" s="290" t="s">
        <v>16</v>
      </c>
      <c r="U64" s="290" t="s">
        <v>16</v>
      </c>
      <c r="V64" s="290" t="s">
        <v>16</v>
      </c>
      <c r="W64" s="290" t="s">
        <v>16</v>
      </c>
      <c r="X64" s="290" t="s">
        <v>16</v>
      </c>
    </row>
    <row r="65" spans="1:24" x14ac:dyDescent="0.2">
      <c r="A65" s="290" t="s">
        <v>729</v>
      </c>
      <c r="B65" s="290" t="s">
        <v>645</v>
      </c>
      <c r="C65" s="290" t="s">
        <v>762</v>
      </c>
      <c r="D65" s="290" t="s">
        <v>16</v>
      </c>
      <c r="E65" s="290" t="s">
        <v>16</v>
      </c>
      <c r="F65" s="290" t="s">
        <v>16</v>
      </c>
      <c r="G65" s="290" t="s">
        <v>16</v>
      </c>
      <c r="H65" s="290" t="s">
        <v>16</v>
      </c>
      <c r="I65" s="290" t="s">
        <v>16</v>
      </c>
      <c r="J65" s="290" t="s">
        <v>16</v>
      </c>
      <c r="K65" s="290" t="s">
        <v>16</v>
      </c>
      <c r="L65" s="290">
        <v>487</v>
      </c>
      <c r="M65" s="290" t="s">
        <v>16</v>
      </c>
      <c r="N65" s="290">
        <v>5328</v>
      </c>
      <c r="O65" s="290">
        <v>338</v>
      </c>
      <c r="P65" s="290" t="s">
        <v>16</v>
      </c>
      <c r="Q65" s="290" t="s">
        <v>16</v>
      </c>
      <c r="R65" s="290" t="s">
        <v>16</v>
      </c>
      <c r="S65" s="290" t="s">
        <v>16</v>
      </c>
      <c r="T65" s="290" t="s">
        <v>16</v>
      </c>
      <c r="U65" s="290" t="s">
        <v>16</v>
      </c>
      <c r="V65" s="290" t="s">
        <v>16</v>
      </c>
      <c r="W65" s="290">
        <v>22</v>
      </c>
      <c r="X65" s="290">
        <v>49</v>
      </c>
    </row>
    <row r="66" spans="1:24" x14ac:dyDescent="0.2">
      <c r="A66" s="290" t="s">
        <v>672</v>
      </c>
      <c r="B66" s="290" t="s">
        <v>645</v>
      </c>
      <c r="C66" s="290" t="s">
        <v>761</v>
      </c>
      <c r="D66" s="290">
        <v>6936</v>
      </c>
      <c r="E66" s="290">
        <v>5487</v>
      </c>
      <c r="F66" s="290">
        <v>4623</v>
      </c>
      <c r="G66" s="290">
        <v>1410</v>
      </c>
      <c r="H66" s="290">
        <v>1395</v>
      </c>
      <c r="I66" s="290">
        <v>1333</v>
      </c>
      <c r="J66" s="290">
        <v>4251</v>
      </c>
      <c r="K66" s="290">
        <v>3684</v>
      </c>
      <c r="L66" s="290">
        <v>131</v>
      </c>
      <c r="M66" s="290">
        <v>78</v>
      </c>
      <c r="N66" s="290">
        <v>778</v>
      </c>
      <c r="O66" s="290">
        <v>136</v>
      </c>
      <c r="P66" s="290">
        <v>135153</v>
      </c>
      <c r="Q66" s="290">
        <v>109</v>
      </c>
      <c r="R66" s="290">
        <v>216</v>
      </c>
      <c r="S66" s="290">
        <v>107</v>
      </c>
      <c r="T66" s="290" t="s">
        <v>16</v>
      </c>
      <c r="U66" s="290" t="s">
        <v>16</v>
      </c>
      <c r="V66" s="290">
        <v>207</v>
      </c>
      <c r="W66" s="290">
        <v>12</v>
      </c>
      <c r="X66" s="290">
        <v>1102</v>
      </c>
    </row>
    <row r="67" spans="1:24" x14ac:dyDescent="0.2">
      <c r="A67" s="290" t="s">
        <v>818</v>
      </c>
      <c r="B67" s="290" t="s">
        <v>645</v>
      </c>
      <c r="C67" s="290" t="s">
        <v>760</v>
      </c>
      <c r="D67" s="290" t="s">
        <v>16</v>
      </c>
      <c r="E67" s="290" t="s">
        <v>16</v>
      </c>
      <c r="F67" s="290" t="s">
        <v>16</v>
      </c>
      <c r="G67" s="290" t="s">
        <v>16</v>
      </c>
      <c r="H67" s="290" t="s">
        <v>16</v>
      </c>
      <c r="I67" s="290" t="s">
        <v>16</v>
      </c>
      <c r="J67" s="290" t="s">
        <v>16</v>
      </c>
      <c r="K67" s="290" t="s">
        <v>16</v>
      </c>
      <c r="L67" s="290">
        <v>2</v>
      </c>
      <c r="M67" s="290" t="s">
        <v>16</v>
      </c>
      <c r="N67" s="290" t="s">
        <v>16</v>
      </c>
      <c r="O67" s="290" t="s">
        <v>16</v>
      </c>
      <c r="P67" s="290" t="s">
        <v>16</v>
      </c>
      <c r="Q67" s="290" t="s">
        <v>16</v>
      </c>
      <c r="R67" s="290" t="s">
        <v>16</v>
      </c>
      <c r="S67" s="290">
        <v>20</v>
      </c>
      <c r="T67" s="290" t="s">
        <v>16</v>
      </c>
      <c r="U67" s="290" t="s">
        <v>16</v>
      </c>
      <c r="V67" s="290" t="s">
        <v>16</v>
      </c>
      <c r="W67" s="290" t="s">
        <v>16</v>
      </c>
      <c r="X67" s="290" t="s">
        <v>16</v>
      </c>
    </row>
    <row r="68" spans="1:24" x14ac:dyDescent="0.2">
      <c r="A68" s="290" t="s">
        <v>730</v>
      </c>
      <c r="B68" s="290" t="s">
        <v>645</v>
      </c>
      <c r="C68" s="290" t="s">
        <v>759</v>
      </c>
      <c r="D68" s="290">
        <v>5257</v>
      </c>
      <c r="E68" s="290">
        <v>6737</v>
      </c>
      <c r="F68" s="290">
        <v>14982</v>
      </c>
      <c r="G68" s="290">
        <v>9014</v>
      </c>
      <c r="H68" s="290">
        <v>3123</v>
      </c>
      <c r="I68" s="290">
        <v>4367</v>
      </c>
      <c r="J68" s="290">
        <v>4209</v>
      </c>
      <c r="K68" s="290">
        <v>2924</v>
      </c>
      <c r="L68" s="290" t="s">
        <v>16</v>
      </c>
      <c r="M68" s="290" t="s">
        <v>16</v>
      </c>
      <c r="N68" s="290" t="s">
        <v>16</v>
      </c>
      <c r="O68" s="290" t="s">
        <v>16</v>
      </c>
      <c r="P68" s="290" t="s">
        <v>16</v>
      </c>
      <c r="Q68" s="290" t="s">
        <v>16</v>
      </c>
      <c r="R68" s="290">
        <v>19</v>
      </c>
      <c r="S68" s="290" t="s">
        <v>16</v>
      </c>
      <c r="T68" s="290" t="s">
        <v>16</v>
      </c>
      <c r="U68" s="290" t="s">
        <v>16</v>
      </c>
      <c r="V68" s="290">
        <v>277</v>
      </c>
      <c r="W68" s="290">
        <v>535</v>
      </c>
      <c r="X68" s="290" t="s">
        <v>16</v>
      </c>
    </row>
    <row r="69" spans="1:24" x14ac:dyDescent="0.2">
      <c r="A69" s="290" t="s">
        <v>670</v>
      </c>
      <c r="B69" s="290" t="s">
        <v>645</v>
      </c>
      <c r="C69" s="290" t="s">
        <v>758</v>
      </c>
      <c r="D69" s="290">
        <v>2029</v>
      </c>
      <c r="E69" s="290">
        <v>534</v>
      </c>
      <c r="F69" s="290">
        <v>3333</v>
      </c>
      <c r="G69" s="290">
        <v>15743</v>
      </c>
      <c r="H69" s="290">
        <v>2440</v>
      </c>
      <c r="I69" s="290">
        <v>6052</v>
      </c>
      <c r="J69" s="290">
        <v>14283</v>
      </c>
      <c r="K69" s="290">
        <v>20770</v>
      </c>
      <c r="L69" s="290">
        <v>29389</v>
      </c>
      <c r="M69" s="290">
        <v>26669</v>
      </c>
      <c r="N69" s="290">
        <v>12923</v>
      </c>
      <c r="O69" s="290">
        <v>737</v>
      </c>
      <c r="P69" s="290">
        <v>816</v>
      </c>
      <c r="Q69" s="290">
        <v>252</v>
      </c>
      <c r="R69" s="290">
        <v>294</v>
      </c>
      <c r="S69" s="290">
        <v>150</v>
      </c>
      <c r="T69" s="290" t="s">
        <v>16</v>
      </c>
      <c r="U69" s="290" t="s">
        <v>16</v>
      </c>
      <c r="V69" s="290" t="s">
        <v>16</v>
      </c>
      <c r="W69" s="290" t="s">
        <v>16</v>
      </c>
      <c r="X69" s="290" t="s">
        <v>16</v>
      </c>
    </row>
    <row r="70" spans="1:24" x14ac:dyDescent="0.2">
      <c r="A70" s="290" t="s">
        <v>669</v>
      </c>
      <c r="B70" s="290" t="s">
        <v>645</v>
      </c>
      <c r="C70" s="290" t="s">
        <v>757</v>
      </c>
      <c r="D70" s="290" t="s">
        <v>16</v>
      </c>
      <c r="E70" s="290" t="s">
        <v>16</v>
      </c>
      <c r="F70" s="290" t="s">
        <v>16</v>
      </c>
      <c r="G70" s="290" t="s">
        <v>16</v>
      </c>
      <c r="H70" s="290" t="s">
        <v>16</v>
      </c>
      <c r="I70" s="290" t="s">
        <v>16</v>
      </c>
      <c r="J70" s="290" t="s">
        <v>16</v>
      </c>
      <c r="K70" s="290">
        <v>103</v>
      </c>
      <c r="L70" s="290">
        <v>6211</v>
      </c>
      <c r="M70" s="290">
        <v>9911</v>
      </c>
      <c r="N70" s="290">
        <v>7218</v>
      </c>
      <c r="O70" s="290">
        <v>337</v>
      </c>
      <c r="P70" s="290">
        <v>99</v>
      </c>
      <c r="Q70" s="290">
        <v>108</v>
      </c>
      <c r="R70" s="290" t="s">
        <v>16</v>
      </c>
      <c r="S70" s="290" t="s">
        <v>16</v>
      </c>
      <c r="T70" s="290" t="s">
        <v>16</v>
      </c>
      <c r="U70" s="290" t="s">
        <v>16</v>
      </c>
      <c r="V70" s="290" t="s">
        <v>16</v>
      </c>
      <c r="W70" s="290" t="s">
        <v>16</v>
      </c>
      <c r="X70" s="290" t="s">
        <v>16</v>
      </c>
    </row>
    <row r="71" spans="1:24" x14ac:dyDescent="0.2">
      <c r="A71" s="290" t="s">
        <v>668</v>
      </c>
      <c r="B71" s="290" t="s">
        <v>645</v>
      </c>
      <c r="C71" s="290" t="s">
        <v>365</v>
      </c>
      <c r="D71" s="290">
        <v>481</v>
      </c>
      <c r="E71" s="290">
        <v>76</v>
      </c>
      <c r="F71" s="290" t="s">
        <v>16</v>
      </c>
      <c r="G71" s="290" t="s">
        <v>16</v>
      </c>
      <c r="H71" s="290" t="s">
        <v>16</v>
      </c>
      <c r="I71" s="290" t="s">
        <v>16</v>
      </c>
      <c r="J71" s="290">
        <v>1154</v>
      </c>
      <c r="K71" s="290" t="s">
        <v>16</v>
      </c>
      <c r="L71" s="290">
        <v>112</v>
      </c>
      <c r="M71" s="290">
        <v>161</v>
      </c>
      <c r="N71" s="290" t="s">
        <v>16</v>
      </c>
      <c r="O71" s="290">
        <v>19</v>
      </c>
      <c r="P71" s="290">
        <v>71</v>
      </c>
      <c r="Q71" s="290">
        <v>66</v>
      </c>
      <c r="R71" s="290">
        <v>49</v>
      </c>
      <c r="S71" s="290" t="s">
        <v>16</v>
      </c>
      <c r="T71" s="290">
        <v>44</v>
      </c>
      <c r="U71" s="290">
        <v>91</v>
      </c>
      <c r="V71" s="290">
        <v>43</v>
      </c>
      <c r="W71" s="290" t="s">
        <v>16</v>
      </c>
      <c r="X71" s="290" t="s">
        <v>16</v>
      </c>
    </row>
    <row r="72" spans="1:24" x14ac:dyDescent="0.2">
      <c r="A72" s="290" t="s">
        <v>667</v>
      </c>
      <c r="B72" s="290" t="s">
        <v>645</v>
      </c>
      <c r="C72" s="290" t="s">
        <v>756</v>
      </c>
      <c r="D72" s="290" t="s">
        <v>16</v>
      </c>
      <c r="E72" s="290" t="s">
        <v>16</v>
      </c>
      <c r="F72" s="290" t="s">
        <v>16</v>
      </c>
      <c r="G72" s="290" t="s">
        <v>16</v>
      </c>
      <c r="H72" s="290" t="s">
        <v>16</v>
      </c>
      <c r="I72" s="290" t="s">
        <v>16</v>
      </c>
      <c r="J72" s="290" t="s">
        <v>16</v>
      </c>
      <c r="K72" s="290" t="s">
        <v>16</v>
      </c>
      <c r="L72" s="290" t="s">
        <v>16</v>
      </c>
      <c r="M72" s="290" t="s">
        <v>16</v>
      </c>
      <c r="N72" s="290" t="s">
        <v>16</v>
      </c>
      <c r="O72" s="290" t="s">
        <v>16</v>
      </c>
      <c r="P72" s="290" t="s">
        <v>16</v>
      </c>
      <c r="Q72" s="290" t="s">
        <v>16</v>
      </c>
      <c r="R72" s="290" t="s">
        <v>16</v>
      </c>
      <c r="S72" s="290" t="s">
        <v>16</v>
      </c>
      <c r="T72" s="290">
        <v>7</v>
      </c>
      <c r="U72" s="290" t="s">
        <v>16</v>
      </c>
      <c r="V72" s="290" t="s">
        <v>16</v>
      </c>
      <c r="W72" s="290" t="s">
        <v>16</v>
      </c>
      <c r="X72" s="290" t="s">
        <v>16</v>
      </c>
    </row>
    <row r="73" spans="1:24" x14ac:dyDescent="0.2">
      <c r="A73" s="290" t="s">
        <v>666</v>
      </c>
      <c r="B73" s="290" t="s">
        <v>645</v>
      </c>
      <c r="C73" s="290" t="s">
        <v>357</v>
      </c>
      <c r="D73" s="290">
        <v>3726</v>
      </c>
      <c r="E73" s="290">
        <v>3000</v>
      </c>
      <c r="F73" s="290" t="s">
        <v>16</v>
      </c>
      <c r="G73" s="290">
        <v>755</v>
      </c>
      <c r="H73" s="290" t="s">
        <v>16</v>
      </c>
      <c r="I73" s="290">
        <v>142</v>
      </c>
      <c r="J73" s="290">
        <v>464</v>
      </c>
      <c r="K73" s="290">
        <v>627</v>
      </c>
      <c r="L73" s="290">
        <v>803</v>
      </c>
      <c r="M73" s="290">
        <v>845</v>
      </c>
      <c r="N73" s="290">
        <v>644</v>
      </c>
      <c r="O73" s="290">
        <v>9</v>
      </c>
      <c r="P73" s="290">
        <v>39</v>
      </c>
      <c r="Q73" s="290">
        <v>97</v>
      </c>
      <c r="R73" s="290">
        <v>12</v>
      </c>
      <c r="S73" s="290">
        <v>72</v>
      </c>
      <c r="T73" s="290">
        <v>42</v>
      </c>
      <c r="U73" s="290">
        <v>119</v>
      </c>
      <c r="V73" s="290">
        <v>17</v>
      </c>
      <c r="W73" s="290">
        <v>61</v>
      </c>
      <c r="X73" s="290" t="s">
        <v>16</v>
      </c>
    </row>
    <row r="74" spans="1:24" x14ac:dyDescent="0.2">
      <c r="A74" s="290" t="s">
        <v>836</v>
      </c>
      <c r="B74" s="290" t="s">
        <v>645</v>
      </c>
      <c r="C74" s="290" t="s">
        <v>755</v>
      </c>
      <c r="D74" s="290" t="s">
        <v>16</v>
      </c>
      <c r="E74" s="290" t="s">
        <v>16</v>
      </c>
      <c r="F74" s="290" t="s">
        <v>16</v>
      </c>
      <c r="G74" s="290" t="s">
        <v>16</v>
      </c>
      <c r="H74" s="290" t="s">
        <v>16</v>
      </c>
      <c r="I74" s="290" t="s">
        <v>16</v>
      </c>
      <c r="J74" s="290" t="s">
        <v>16</v>
      </c>
      <c r="K74" s="290" t="s">
        <v>16</v>
      </c>
      <c r="L74" s="290" t="s">
        <v>16</v>
      </c>
      <c r="M74" s="290">
        <v>11</v>
      </c>
      <c r="N74" s="290" t="s">
        <v>16</v>
      </c>
      <c r="O74" s="290" t="s">
        <v>16</v>
      </c>
      <c r="P74" s="290" t="s">
        <v>16</v>
      </c>
      <c r="Q74" s="290" t="s">
        <v>16</v>
      </c>
      <c r="R74" s="290" t="s">
        <v>16</v>
      </c>
      <c r="S74" s="290" t="s">
        <v>16</v>
      </c>
      <c r="T74" s="290" t="s">
        <v>16</v>
      </c>
      <c r="U74" s="290" t="s">
        <v>16</v>
      </c>
      <c r="V74" s="290" t="s">
        <v>16</v>
      </c>
      <c r="W74" s="290" t="s">
        <v>16</v>
      </c>
      <c r="X74" s="290">
        <v>41</v>
      </c>
    </row>
    <row r="75" spans="1:24" x14ac:dyDescent="0.2">
      <c r="A75" s="290" t="s">
        <v>665</v>
      </c>
      <c r="B75" s="290" t="s">
        <v>645</v>
      </c>
      <c r="C75" s="290" t="s">
        <v>754</v>
      </c>
      <c r="D75" s="290" t="s">
        <v>16</v>
      </c>
      <c r="E75" s="290" t="s">
        <v>16</v>
      </c>
      <c r="F75" s="290" t="s">
        <v>16</v>
      </c>
      <c r="G75" s="290" t="s">
        <v>16</v>
      </c>
      <c r="H75" s="290" t="s">
        <v>16</v>
      </c>
      <c r="I75" s="290" t="s">
        <v>16</v>
      </c>
      <c r="J75" s="290" t="s">
        <v>16</v>
      </c>
      <c r="K75" s="290" t="s">
        <v>16</v>
      </c>
      <c r="L75" s="290" t="s">
        <v>16</v>
      </c>
      <c r="M75" s="290" t="s">
        <v>16</v>
      </c>
      <c r="N75" s="290">
        <v>174</v>
      </c>
      <c r="O75" s="290" t="s">
        <v>16</v>
      </c>
      <c r="P75" s="290" t="s">
        <v>16</v>
      </c>
      <c r="Q75" s="290" t="s">
        <v>16</v>
      </c>
      <c r="R75" s="290" t="s">
        <v>16</v>
      </c>
      <c r="S75" s="290" t="s">
        <v>16</v>
      </c>
      <c r="T75" s="290" t="s">
        <v>16</v>
      </c>
      <c r="U75" s="290" t="s">
        <v>16</v>
      </c>
      <c r="V75" s="290" t="s">
        <v>16</v>
      </c>
      <c r="W75" s="290" t="s">
        <v>16</v>
      </c>
      <c r="X75" s="290" t="s">
        <v>16</v>
      </c>
    </row>
    <row r="76" spans="1:24" x14ac:dyDescent="0.2">
      <c r="A76" s="290" t="s">
        <v>664</v>
      </c>
      <c r="B76" s="290" t="s">
        <v>645</v>
      </c>
      <c r="C76" s="290" t="s">
        <v>753</v>
      </c>
      <c r="D76" s="290" t="s">
        <v>16</v>
      </c>
      <c r="E76" s="290" t="s">
        <v>16</v>
      </c>
      <c r="F76" s="290" t="s">
        <v>16</v>
      </c>
      <c r="G76" s="290" t="s">
        <v>16</v>
      </c>
      <c r="H76" s="290" t="s">
        <v>16</v>
      </c>
      <c r="I76" s="290" t="s">
        <v>16</v>
      </c>
      <c r="J76" s="290" t="s">
        <v>16</v>
      </c>
      <c r="K76" s="290" t="s">
        <v>16</v>
      </c>
      <c r="L76" s="290" t="s">
        <v>16</v>
      </c>
      <c r="M76" s="290" t="s">
        <v>16</v>
      </c>
      <c r="N76" s="290">
        <v>64730</v>
      </c>
      <c r="O76" s="290" t="s">
        <v>16</v>
      </c>
      <c r="P76" s="290" t="s">
        <v>16</v>
      </c>
      <c r="Q76" s="290" t="s">
        <v>16</v>
      </c>
      <c r="R76" s="290" t="s">
        <v>16</v>
      </c>
      <c r="S76" s="290" t="s">
        <v>16</v>
      </c>
      <c r="T76" s="290" t="s">
        <v>16</v>
      </c>
      <c r="U76" s="290" t="s">
        <v>16</v>
      </c>
      <c r="V76" s="290" t="s">
        <v>16</v>
      </c>
      <c r="W76" s="290" t="s">
        <v>16</v>
      </c>
      <c r="X76" s="290" t="s">
        <v>16</v>
      </c>
    </row>
    <row r="77" spans="1:24" x14ac:dyDescent="0.2">
      <c r="A77" s="290" t="s">
        <v>837</v>
      </c>
      <c r="B77" s="290" t="s">
        <v>645</v>
      </c>
      <c r="C77" s="290" t="s">
        <v>752</v>
      </c>
      <c r="D77" s="290" t="s">
        <v>16</v>
      </c>
      <c r="E77" s="290" t="s">
        <v>16</v>
      </c>
      <c r="F77" s="290" t="s">
        <v>16</v>
      </c>
      <c r="G77" s="290" t="s">
        <v>16</v>
      </c>
      <c r="H77" s="290" t="s">
        <v>16</v>
      </c>
      <c r="I77" s="290" t="s">
        <v>16</v>
      </c>
      <c r="J77" s="290" t="s">
        <v>16</v>
      </c>
      <c r="K77" s="290" t="s">
        <v>16</v>
      </c>
      <c r="L77" s="290" t="s">
        <v>16</v>
      </c>
      <c r="M77" s="290">
        <v>14</v>
      </c>
      <c r="N77" s="290" t="s">
        <v>16</v>
      </c>
      <c r="O77" s="290" t="s">
        <v>16</v>
      </c>
      <c r="P77" s="290" t="s">
        <v>16</v>
      </c>
      <c r="Q77" s="290" t="s">
        <v>16</v>
      </c>
      <c r="R77" s="290" t="s">
        <v>16</v>
      </c>
      <c r="S77" s="290" t="s">
        <v>16</v>
      </c>
      <c r="T77" s="290" t="s">
        <v>16</v>
      </c>
      <c r="U77" s="290" t="s">
        <v>16</v>
      </c>
      <c r="V77" s="290">
        <v>252</v>
      </c>
      <c r="W77" s="290" t="s">
        <v>16</v>
      </c>
      <c r="X77" s="290">
        <v>23</v>
      </c>
    </row>
    <row r="78" spans="1:24" x14ac:dyDescent="0.2">
      <c r="A78" s="290" t="s">
        <v>663</v>
      </c>
      <c r="B78" s="290" t="s">
        <v>645</v>
      </c>
      <c r="C78" s="290" t="s">
        <v>751</v>
      </c>
      <c r="D78" s="290" t="s">
        <v>16</v>
      </c>
      <c r="E78" s="290" t="s">
        <v>16</v>
      </c>
      <c r="F78" s="290" t="s">
        <v>16</v>
      </c>
      <c r="G78" s="290" t="s">
        <v>16</v>
      </c>
      <c r="H78" s="290" t="s">
        <v>16</v>
      </c>
      <c r="I78" s="290" t="s">
        <v>16</v>
      </c>
      <c r="J78" s="290" t="s">
        <v>16</v>
      </c>
      <c r="K78" s="290" t="s">
        <v>16</v>
      </c>
      <c r="L78" s="290" t="s">
        <v>16</v>
      </c>
      <c r="M78" s="290" t="s">
        <v>16</v>
      </c>
      <c r="N78" s="290" t="s">
        <v>16</v>
      </c>
      <c r="O78" s="290" t="s">
        <v>16</v>
      </c>
      <c r="P78" s="290" t="s">
        <v>16</v>
      </c>
      <c r="Q78" s="290" t="s">
        <v>16</v>
      </c>
      <c r="R78" s="290">
        <v>132</v>
      </c>
      <c r="S78" s="290" t="s">
        <v>16</v>
      </c>
      <c r="T78" s="290" t="s">
        <v>16</v>
      </c>
      <c r="U78" s="290" t="s">
        <v>16</v>
      </c>
      <c r="V78" s="290" t="s">
        <v>16</v>
      </c>
      <c r="W78" s="290" t="s">
        <v>16</v>
      </c>
      <c r="X78" s="290" t="s">
        <v>16</v>
      </c>
    </row>
    <row r="79" spans="1:24" x14ac:dyDescent="0.2">
      <c r="A79" s="290" t="s">
        <v>732</v>
      </c>
      <c r="B79" s="290" t="s">
        <v>645</v>
      </c>
      <c r="C79" s="290" t="s">
        <v>750</v>
      </c>
      <c r="D79" s="290" t="s">
        <v>16</v>
      </c>
      <c r="E79" s="290" t="s">
        <v>16</v>
      </c>
      <c r="F79" s="290">
        <v>1204</v>
      </c>
      <c r="G79" s="290" t="s">
        <v>16</v>
      </c>
      <c r="H79" s="290" t="s">
        <v>16</v>
      </c>
      <c r="I79" s="290">
        <v>2450</v>
      </c>
      <c r="J79" s="290">
        <v>5215</v>
      </c>
      <c r="K79" s="290">
        <v>10</v>
      </c>
      <c r="L79" s="290" t="s">
        <v>16</v>
      </c>
      <c r="M79" s="290">
        <v>384</v>
      </c>
      <c r="N79" s="290">
        <v>173</v>
      </c>
      <c r="O79" s="290">
        <v>575</v>
      </c>
      <c r="P79" s="290">
        <v>404</v>
      </c>
      <c r="Q79" s="290">
        <v>24</v>
      </c>
      <c r="R79" s="290">
        <v>169</v>
      </c>
      <c r="S79" s="290">
        <v>22</v>
      </c>
      <c r="T79" s="290" t="s">
        <v>16</v>
      </c>
      <c r="U79" s="290" t="s">
        <v>16</v>
      </c>
      <c r="V79" s="290" t="s">
        <v>16</v>
      </c>
      <c r="W79" s="290" t="s">
        <v>16</v>
      </c>
      <c r="X79" s="290" t="s">
        <v>16</v>
      </c>
    </row>
    <row r="80" spans="1:24" x14ac:dyDescent="0.2">
      <c r="A80" s="290" t="s">
        <v>662</v>
      </c>
      <c r="B80" s="290" t="s">
        <v>645</v>
      </c>
      <c r="C80" s="290" t="s">
        <v>364</v>
      </c>
      <c r="D80" s="290">
        <v>1457</v>
      </c>
      <c r="E80" s="290">
        <v>11426</v>
      </c>
      <c r="F80" s="290">
        <v>10627</v>
      </c>
      <c r="G80" s="290">
        <v>37010</v>
      </c>
      <c r="H80" s="290">
        <v>58548</v>
      </c>
      <c r="I80" s="290">
        <v>22286</v>
      </c>
      <c r="J80" s="290">
        <v>56342</v>
      </c>
      <c r="K80" s="290">
        <v>96114</v>
      </c>
      <c r="L80" s="290">
        <v>80195</v>
      </c>
      <c r="M80" s="290">
        <v>2187</v>
      </c>
      <c r="N80" s="290">
        <v>5521</v>
      </c>
      <c r="O80" s="290">
        <v>22101</v>
      </c>
      <c r="P80" s="290">
        <v>10528</v>
      </c>
      <c r="Q80" s="290">
        <v>2968</v>
      </c>
      <c r="R80" s="290">
        <v>4079</v>
      </c>
      <c r="S80" s="290">
        <v>2377</v>
      </c>
      <c r="T80" s="290">
        <v>1332</v>
      </c>
      <c r="U80" s="290">
        <v>1639</v>
      </c>
      <c r="V80" s="290">
        <v>3859</v>
      </c>
      <c r="W80" s="290">
        <v>6771</v>
      </c>
      <c r="X80" s="290">
        <v>996</v>
      </c>
    </row>
    <row r="81" spans="1:24" x14ac:dyDescent="0.2">
      <c r="A81" s="290" t="s">
        <v>661</v>
      </c>
      <c r="B81" s="290" t="s">
        <v>645</v>
      </c>
      <c r="C81" s="290" t="s">
        <v>749</v>
      </c>
      <c r="D81" s="290" t="s">
        <v>16</v>
      </c>
      <c r="E81" s="290">
        <v>2858</v>
      </c>
      <c r="F81" s="290">
        <v>2118</v>
      </c>
      <c r="G81" s="290">
        <v>4519</v>
      </c>
      <c r="H81" s="290">
        <v>2683</v>
      </c>
      <c r="I81" s="290">
        <v>2600</v>
      </c>
      <c r="J81" s="290">
        <v>665</v>
      </c>
      <c r="K81" s="290">
        <v>1260</v>
      </c>
      <c r="L81" s="290" t="s">
        <v>16</v>
      </c>
      <c r="M81" s="290">
        <v>289</v>
      </c>
      <c r="N81" s="290" t="s">
        <v>16</v>
      </c>
      <c r="O81" s="290" t="s">
        <v>16</v>
      </c>
      <c r="P81" s="290" t="s">
        <v>16</v>
      </c>
      <c r="Q81" s="290" t="s">
        <v>16</v>
      </c>
      <c r="R81" s="290" t="s">
        <v>16</v>
      </c>
      <c r="S81" s="290" t="s">
        <v>16</v>
      </c>
      <c r="T81" s="290" t="s">
        <v>16</v>
      </c>
      <c r="U81" s="290" t="s">
        <v>16</v>
      </c>
      <c r="V81" s="290" t="s">
        <v>16</v>
      </c>
      <c r="W81" s="290" t="s">
        <v>16</v>
      </c>
      <c r="X81" s="290" t="s">
        <v>16</v>
      </c>
    </row>
    <row r="82" spans="1:24" x14ac:dyDescent="0.2">
      <c r="A82" s="290" t="s">
        <v>660</v>
      </c>
      <c r="B82" s="290" t="s">
        <v>645</v>
      </c>
      <c r="C82" s="290" t="s">
        <v>748</v>
      </c>
      <c r="D82" s="290" t="s">
        <v>16</v>
      </c>
      <c r="E82" s="290" t="s">
        <v>16</v>
      </c>
      <c r="F82" s="290" t="s">
        <v>16</v>
      </c>
      <c r="G82" s="290" t="s">
        <v>16</v>
      </c>
      <c r="H82" s="290" t="s">
        <v>16</v>
      </c>
      <c r="I82" s="290" t="s">
        <v>16</v>
      </c>
      <c r="J82" s="290" t="s">
        <v>16</v>
      </c>
      <c r="K82" s="290" t="s">
        <v>16</v>
      </c>
      <c r="L82" s="290" t="s">
        <v>16</v>
      </c>
      <c r="M82" s="290" t="s">
        <v>16</v>
      </c>
      <c r="N82" s="290" t="s">
        <v>16</v>
      </c>
      <c r="O82" s="290" t="s">
        <v>16</v>
      </c>
      <c r="P82" s="290" t="s">
        <v>16</v>
      </c>
      <c r="Q82" s="290" t="s">
        <v>16</v>
      </c>
      <c r="R82" s="290" t="s">
        <v>16</v>
      </c>
      <c r="S82" s="290" t="s">
        <v>16</v>
      </c>
      <c r="T82" s="290" t="s">
        <v>16</v>
      </c>
      <c r="U82" s="290" t="s">
        <v>16</v>
      </c>
      <c r="V82" s="290">
        <v>59778</v>
      </c>
      <c r="W82" s="290" t="s">
        <v>16</v>
      </c>
      <c r="X82" s="290" t="s">
        <v>16</v>
      </c>
    </row>
    <row r="83" spans="1:24" x14ac:dyDescent="0.2">
      <c r="A83" s="290" t="s">
        <v>659</v>
      </c>
      <c r="B83" s="290" t="s">
        <v>645</v>
      </c>
      <c r="C83" s="290" t="s">
        <v>352</v>
      </c>
      <c r="D83" s="290" t="s">
        <v>16</v>
      </c>
      <c r="E83" s="290" t="s">
        <v>16</v>
      </c>
      <c r="F83" s="290">
        <v>22</v>
      </c>
      <c r="G83" s="290">
        <v>179</v>
      </c>
      <c r="H83" s="290" t="s">
        <v>16</v>
      </c>
      <c r="I83" s="290" t="s">
        <v>16</v>
      </c>
      <c r="J83" s="290">
        <v>21</v>
      </c>
      <c r="K83" s="290" t="s">
        <v>16</v>
      </c>
      <c r="L83" s="290" t="s">
        <v>16</v>
      </c>
      <c r="M83" s="290" t="s">
        <v>16</v>
      </c>
      <c r="N83" s="290">
        <v>43</v>
      </c>
      <c r="O83" s="290" t="s">
        <v>16</v>
      </c>
      <c r="P83" s="290" t="s">
        <v>16</v>
      </c>
      <c r="Q83" s="290" t="s">
        <v>16</v>
      </c>
      <c r="R83" s="290" t="s">
        <v>16</v>
      </c>
      <c r="S83" s="290" t="s">
        <v>16</v>
      </c>
      <c r="T83" s="290" t="s">
        <v>16</v>
      </c>
      <c r="U83" s="290">
        <v>19</v>
      </c>
      <c r="V83" s="290" t="s">
        <v>16</v>
      </c>
      <c r="W83" s="290">
        <v>22</v>
      </c>
      <c r="X83" s="290" t="s">
        <v>16</v>
      </c>
    </row>
    <row r="84" spans="1:24" x14ac:dyDescent="0.2">
      <c r="A84" s="290" t="s">
        <v>658</v>
      </c>
      <c r="B84" s="290" t="s">
        <v>645</v>
      </c>
      <c r="C84" s="290" t="s">
        <v>747</v>
      </c>
      <c r="D84" s="290" t="s">
        <v>16</v>
      </c>
      <c r="E84" s="290" t="s">
        <v>16</v>
      </c>
      <c r="F84" s="290" t="s">
        <v>16</v>
      </c>
      <c r="G84" s="290" t="s">
        <v>16</v>
      </c>
      <c r="H84" s="290" t="s">
        <v>16</v>
      </c>
      <c r="I84" s="290" t="s">
        <v>16</v>
      </c>
      <c r="J84" s="290" t="s">
        <v>16</v>
      </c>
      <c r="K84" s="290" t="s">
        <v>16</v>
      </c>
      <c r="L84" s="290" t="s">
        <v>16</v>
      </c>
      <c r="M84" s="290" t="s">
        <v>16</v>
      </c>
      <c r="N84" s="290" t="s">
        <v>16</v>
      </c>
      <c r="O84" s="290" t="s">
        <v>16</v>
      </c>
      <c r="P84" s="290" t="s">
        <v>16</v>
      </c>
      <c r="Q84" s="290" t="s">
        <v>16</v>
      </c>
      <c r="R84" s="290" t="s">
        <v>16</v>
      </c>
      <c r="S84" s="290" t="s">
        <v>16</v>
      </c>
      <c r="T84" s="290">
        <v>62832</v>
      </c>
      <c r="U84" s="290" t="s">
        <v>16</v>
      </c>
      <c r="V84" s="290" t="s">
        <v>16</v>
      </c>
      <c r="W84" s="290" t="s">
        <v>16</v>
      </c>
      <c r="X84" s="290" t="s">
        <v>16</v>
      </c>
    </row>
    <row r="85" spans="1:24" x14ac:dyDescent="0.2">
      <c r="A85" s="290" t="s">
        <v>657</v>
      </c>
      <c r="B85" s="290" t="s">
        <v>645</v>
      </c>
      <c r="C85" s="290" t="s">
        <v>370</v>
      </c>
      <c r="D85" s="290" t="s">
        <v>16</v>
      </c>
      <c r="E85" s="290" t="s">
        <v>16</v>
      </c>
      <c r="F85" s="290" t="s">
        <v>16</v>
      </c>
      <c r="G85" s="290" t="s">
        <v>16</v>
      </c>
      <c r="H85" s="290" t="s">
        <v>16</v>
      </c>
      <c r="I85" s="290" t="s">
        <v>16</v>
      </c>
      <c r="J85" s="290" t="s">
        <v>16</v>
      </c>
      <c r="K85" s="290">
        <v>22714</v>
      </c>
      <c r="L85" s="290">
        <v>78</v>
      </c>
      <c r="M85" s="290">
        <v>192</v>
      </c>
      <c r="N85" s="290">
        <v>140</v>
      </c>
      <c r="O85" s="290">
        <v>78269</v>
      </c>
      <c r="P85" s="290">
        <v>146</v>
      </c>
      <c r="Q85" s="290">
        <v>149</v>
      </c>
      <c r="R85" s="290">
        <v>168</v>
      </c>
      <c r="S85" s="290">
        <v>89</v>
      </c>
      <c r="T85" s="290">
        <v>154</v>
      </c>
      <c r="U85" s="290">
        <v>44</v>
      </c>
      <c r="V85" s="290">
        <v>242</v>
      </c>
      <c r="W85" s="290">
        <v>22</v>
      </c>
      <c r="X85" s="290">
        <v>59025</v>
      </c>
    </row>
    <row r="86" spans="1:24" x14ac:dyDescent="0.2">
      <c r="A86" s="290" t="s">
        <v>733</v>
      </c>
      <c r="B86" s="290" t="s">
        <v>645</v>
      </c>
      <c r="C86" s="290" t="s">
        <v>746</v>
      </c>
      <c r="D86" s="290" t="s">
        <v>16</v>
      </c>
      <c r="E86" s="290" t="s">
        <v>16</v>
      </c>
      <c r="F86" s="290" t="s">
        <v>16</v>
      </c>
      <c r="G86" s="290" t="s">
        <v>16</v>
      </c>
      <c r="H86" s="290" t="s">
        <v>16</v>
      </c>
      <c r="I86" s="290" t="s">
        <v>16</v>
      </c>
      <c r="J86" s="290">
        <v>23</v>
      </c>
      <c r="K86" s="290" t="s">
        <v>16</v>
      </c>
      <c r="L86" s="290" t="s">
        <v>16</v>
      </c>
      <c r="M86" s="290">
        <v>18</v>
      </c>
      <c r="N86" s="290" t="s">
        <v>16</v>
      </c>
      <c r="O86" s="290" t="s">
        <v>16</v>
      </c>
      <c r="P86" s="290" t="s">
        <v>16</v>
      </c>
      <c r="Q86" s="290" t="s">
        <v>16</v>
      </c>
      <c r="R86" s="290" t="s">
        <v>16</v>
      </c>
      <c r="S86" s="290" t="s">
        <v>16</v>
      </c>
      <c r="T86" s="290" t="s">
        <v>16</v>
      </c>
      <c r="U86" s="290" t="s">
        <v>16</v>
      </c>
      <c r="V86" s="290" t="s">
        <v>16</v>
      </c>
      <c r="W86" s="290" t="s">
        <v>16</v>
      </c>
      <c r="X86" s="290" t="s">
        <v>16</v>
      </c>
    </row>
    <row r="87" spans="1:24" x14ac:dyDescent="0.2">
      <c r="A87" s="290" t="s">
        <v>656</v>
      </c>
      <c r="B87" s="290" t="s">
        <v>645</v>
      </c>
      <c r="C87" s="290" t="s">
        <v>745</v>
      </c>
      <c r="D87" s="290" t="s">
        <v>16</v>
      </c>
      <c r="E87" s="290" t="s">
        <v>16</v>
      </c>
      <c r="F87" s="290" t="s">
        <v>16</v>
      </c>
      <c r="G87" s="290">
        <v>11</v>
      </c>
      <c r="H87" s="290" t="s">
        <v>16</v>
      </c>
      <c r="I87" s="290" t="s">
        <v>16</v>
      </c>
      <c r="J87" s="290" t="s">
        <v>16</v>
      </c>
      <c r="K87" s="290" t="s">
        <v>16</v>
      </c>
      <c r="L87" s="290" t="s">
        <v>16</v>
      </c>
      <c r="M87" s="290" t="s">
        <v>16</v>
      </c>
      <c r="N87" s="290" t="s">
        <v>16</v>
      </c>
      <c r="O87" s="290" t="s">
        <v>16</v>
      </c>
      <c r="P87" s="290" t="s">
        <v>16</v>
      </c>
      <c r="Q87" s="290" t="s">
        <v>16</v>
      </c>
      <c r="R87" s="290" t="s">
        <v>16</v>
      </c>
      <c r="S87" s="290" t="s">
        <v>16</v>
      </c>
      <c r="T87" s="290" t="s">
        <v>16</v>
      </c>
      <c r="U87" s="290" t="s">
        <v>16</v>
      </c>
      <c r="V87" s="290" t="s">
        <v>16</v>
      </c>
      <c r="W87" s="290" t="s">
        <v>16</v>
      </c>
      <c r="X87" s="290" t="s">
        <v>16</v>
      </c>
    </row>
    <row r="88" spans="1:24" x14ac:dyDescent="0.2">
      <c r="A88" s="290" t="s">
        <v>838</v>
      </c>
      <c r="B88" s="290" t="s">
        <v>645</v>
      </c>
      <c r="C88" s="290" t="s">
        <v>744</v>
      </c>
      <c r="D88" s="290" t="s">
        <v>16</v>
      </c>
      <c r="E88" s="290" t="s">
        <v>16</v>
      </c>
      <c r="F88" s="290" t="s">
        <v>16</v>
      </c>
      <c r="G88" s="290" t="s">
        <v>16</v>
      </c>
      <c r="H88" s="290" t="s">
        <v>16</v>
      </c>
      <c r="I88" s="290" t="s">
        <v>16</v>
      </c>
      <c r="J88" s="290" t="s">
        <v>16</v>
      </c>
      <c r="K88" s="290" t="s">
        <v>16</v>
      </c>
      <c r="L88" s="290" t="s">
        <v>16</v>
      </c>
      <c r="M88" s="290" t="s">
        <v>16</v>
      </c>
      <c r="N88" s="290">
        <v>44</v>
      </c>
      <c r="O88" s="290">
        <v>44</v>
      </c>
      <c r="P88" s="290" t="s">
        <v>16</v>
      </c>
      <c r="Q88" s="290" t="s">
        <v>16</v>
      </c>
      <c r="R88" s="290" t="s">
        <v>16</v>
      </c>
      <c r="S88" s="290" t="s">
        <v>16</v>
      </c>
      <c r="T88" s="290" t="s">
        <v>16</v>
      </c>
      <c r="U88" s="290" t="s">
        <v>16</v>
      </c>
      <c r="V88" s="290" t="s">
        <v>16</v>
      </c>
      <c r="W88" s="290" t="s">
        <v>16</v>
      </c>
      <c r="X88" s="290" t="s">
        <v>16</v>
      </c>
    </row>
    <row r="89" spans="1:24" x14ac:dyDescent="0.2">
      <c r="A89" s="290" t="s">
        <v>654</v>
      </c>
      <c r="B89" s="290" t="s">
        <v>645</v>
      </c>
      <c r="C89" s="290" t="s">
        <v>743</v>
      </c>
      <c r="D89" s="290" t="s">
        <v>16</v>
      </c>
      <c r="E89" s="290" t="s">
        <v>16</v>
      </c>
      <c r="F89" s="290" t="s">
        <v>16</v>
      </c>
      <c r="G89" s="290" t="s">
        <v>16</v>
      </c>
      <c r="H89" s="290" t="s">
        <v>16</v>
      </c>
      <c r="I89" s="290" t="s">
        <v>16</v>
      </c>
      <c r="J89" s="290" t="s">
        <v>16</v>
      </c>
      <c r="K89" s="290" t="s">
        <v>16</v>
      </c>
      <c r="L89" s="290" t="s">
        <v>16</v>
      </c>
      <c r="M89" s="290" t="s">
        <v>16</v>
      </c>
      <c r="N89" s="290" t="s">
        <v>16</v>
      </c>
      <c r="O89" s="290">
        <v>24</v>
      </c>
      <c r="P89" s="290" t="s">
        <v>16</v>
      </c>
      <c r="Q89" s="290" t="s">
        <v>16</v>
      </c>
      <c r="R89" s="290">
        <v>44</v>
      </c>
      <c r="S89" s="290" t="s">
        <v>16</v>
      </c>
      <c r="T89" s="290" t="s">
        <v>16</v>
      </c>
      <c r="U89" s="290" t="s">
        <v>16</v>
      </c>
      <c r="V89" s="290" t="s">
        <v>16</v>
      </c>
      <c r="W89" s="290" t="s">
        <v>16</v>
      </c>
      <c r="X89" s="290" t="s">
        <v>16</v>
      </c>
    </row>
    <row r="90" spans="1:24" x14ac:dyDescent="0.2">
      <c r="A90" s="290" t="s">
        <v>653</v>
      </c>
      <c r="B90" s="290" t="s">
        <v>645</v>
      </c>
      <c r="C90" s="290" t="s">
        <v>360</v>
      </c>
      <c r="D90" s="290">
        <v>2796</v>
      </c>
      <c r="E90" s="290">
        <v>6489</v>
      </c>
      <c r="F90" s="290">
        <v>273</v>
      </c>
      <c r="G90" s="290">
        <v>732</v>
      </c>
      <c r="H90" s="290">
        <v>2369</v>
      </c>
      <c r="I90" s="290">
        <v>1597</v>
      </c>
      <c r="J90" s="290">
        <v>7045</v>
      </c>
      <c r="K90" s="290">
        <v>1864</v>
      </c>
      <c r="L90" s="290">
        <v>69</v>
      </c>
      <c r="M90" s="290">
        <v>2028</v>
      </c>
      <c r="N90" s="290">
        <v>1055</v>
      </c>
      <c r="O90" s="290">
        <v>120</v>
      </c>
      <c r="P90" s="290">
        <v>138</v>
      </c>
      <c r="Q90" s="290">
        <v>65</v>
      </c>
      <c r="R90" s="290">
        <v>187</v>
      </c>
      <c r="S90" s="290">
        <v>12</v>
      </c>
      <c r="T90" s="290">
        <v>12</v>
      </c>
      <c r="U90" s="290">
        <v>19</v>
      </c>
      <c r="V90" s="290">
        <v>224</v>
      </c>
      <c r="W90" s="290">
        <v>1131</v>
      </c>
      <c r="X90" s="290">
        <v>22</v>
      </c>
    </row>
    <row r="91" spans="1:24" x14ac:dyDescent="0.2">
      <c r="A91" s="290" t="s">
        <v>839</v>
      </c>
      <c r="B91" s="290" t="s">
        <v>645</v>
      </c>
      <c r="C91" s="290" t="s">
        <v>351</v>
      </c>
      <c r="D91" s="290">
        <v>560</v>
      </c>
      <c r="E91" s="290" t="s">
        <v>16</v>
      </c>
      <c r="F91" s="290" t="s">
        <v>16</v>
      </c>
      <c r="G91" s="290" t="s">
        <v>16</v>
      </c>
      <c r="H91" s="290" t="s">
        <v>16</v>
      </c>
      <c r="I91" s="290" t="s">
        <v>16</v>
      </c>
      <c r="J91" s="290" t="s">
        <v>16</v>
      </c>
      <c r="K91" s="290" t="s">
        <v>16</v>
      </c>
      <c r="L91" s="290" t="s">
        <v>16</v>
      </c>
      <c r="M91" s="290" t="s">
        <v>16</v>
      </c>
      <c r="N91" s="290">
        <v>6</v>
      </c>
      <c r="O91" s="290" t="s">
        <v>16</v>
      </c>
      <c r="P91" s="290" t="s">
        <v>16</v>
      </c>
      <c r="Q91" s="290" t="s">
        <v>16</v>
      </c>
      <c r="R91" s="290" t="s">
        <v>16</v>
      </c>
      <c r="S91" s="290" t="s">
        <v>16</v>
      </c>
      <c r="T91" s="290" t="s">
        <v>16</v>
      </c>
      <c r="U91" s="290">
        <v>24</v>
      </c>
      <c r="V91" s="290">
        <v>8</v>
      </c>
      <c r="W91" s="290" t="s">
        <v>16</v>
      </c>
      <c r="X91" s="290">
        <v>21</v>
      </c>
    </row>
    <row r="92" spans="1:24" x14ac:dyDescent="0.2">
      <c r="A92" s="290" t="s">
        <v>652</v>
      </c>
      <c r="B92" s="290" t="s">
        <v>645</v>
      </c>
      <c r="C92" s="290" t="s">
        <v>368</v>
      </c>
      <c r="D92" s="290">
        <v>1542</v>
      </c>
      <c r="E92" s="290">
        <v>2550</v>
      </c>
      <c r="F92" s="290">
        <v>4058</v>
      </c>
      <c r="G92" s="290">
        <v>2377</v>
      </c>
      <c r="H92" s="290">
        <v>4250</v>
      </c>
      <c r="I92" s="290">
        <v>6001</v>
      </c>
      <c r="J92" s="290">
        <v>6278</v>
      </c>
      <c r="K92" s="290">
        <v>109</v>
      </c>
      <c r="L92" s="290">
        <v>137</v>
      </c>
      <c r="M92" s="290">
        <v>823</v>
      </c>
      <c r="N92" s="290">
        <v>765</v>
      </c>
      <c r="O92" s="290">
        <v>330659</v>
      </c>
      <c r="P92" s="290">
        <v>67993</v>
      </c>
      <c r="Q92" s="290">
        <v>130943</v>
      </c>
      <c r="R92" s="290">
        <v>1118</v>
      </c>
      <c r="S92" s="290">
        <v>195</v>
      </c>
      <c r="T92" s="290">
        <v>387</v>
      </c>
      <c r="U92" s="290">
        <v>496</v>
      </c>
      <c r="V92" s="290">
        <v>485</v>
      </c>
      <c r="W92" s="290">
        <v>480</v>
      </c>
      <c r="X92" s="290">
        <v>332</v>
      </c>
    </row>
    <row r="93" spans="1:24" x14ac:dyDescent="0.2">
      <c r="A93" s="290" t="s">
        <v>840</v>
      </c>
      <c r="B93" s="290" t="s">
        <v>645</v>
      </c>
      <c r="C93" s="290" t="s">
        <v>742</v>
      </c>
      <c r="D93" s="290" t="s">
        <v>16</v>
      </c>
      <c r="E93" s="290" t="s">
        <v>16</v>
      </c>
      <c r="F93" s="290" t="s">
        <v>16</v>
      </c>
      <c r="G93" s="290" t="s">
        <v>16</v>
      </c>
      <c r="H93" s="290" t="s">
        <v>16</v>
      </c>
      <c r="I93" s="290" t="s">
        <v>16</v>
      </c>
      <c r="J93" s="290" t="s">
        <v>16</v>
      </c>
      <c r="K93" s="290" t="s">
        <v>16</v>
      </c>
      <c r="L93" s="290" t="s">
        <v>16</v>
      </c>
      <c r="M93" s="290" t="s">
        <v>16</v>
      </c>
      <c r="N93" s="290" t="s">
        <v>16</v>
      </c>
      <c r="O93" s="290" t="s">
        <v>16</v>
      </c>
      <c r="P93" s="290" t="s">
        <v>16</v>
      </c>
      <c r="Q93" s="290">
        <v>49</v>
      </c>
      <c r="R93" s="290" t="s">
        <v>16</v>
      </c>
      <c r="S93" s="290" t="s">
        <v>16</v>
      </c>
      <c r="T93" s="290" t="s">
        <v>16</v>
      </c>
      <c r="U93" s="290" t="s">
        <v>16</v>
      </c>
      <c r="V93" s="290" t="s">
        <v>16</v>
      </c>
      <c r="W93" s="290" t="s">
        <v>16</v>
      </c>
      <c r="X93" s="290" t="s">
        <v>16</v>
      </c>
    </row>
    <row r="94" spans="1:24" x14ac:dyDescent="0.2">
      <c r="A94" s="290" t="s">
        <v>651</v>
      </c>
      <c r="B94" s="290" t="s">
        <v>645</v>
      </c>
      <c r="C94" s="290" t="s">
        <v>741</v>
      </c>
      <c r="D94" s="290" t="s">
        <v>16</v>
      </c>
      <c r="E94" s="290" t="s">
        <v>16</v>
      </c>
      <c r="F94" s="290" t="s">
        <v>16</v>
      </c>
      <c r="G94" s="290" t="s">
        <v>16</v>
      </c>
      <c r="H94" s="290" t="s">
        <v>16</v>
      </c>
      <c r="I94" s="290" t="s">
        <v>16</v>
      </c>
      <c r="J94" s="290" t="s">
        <v>16</v>
      </c>
      <c r="K94" s="290" t="s">
        <v>16</v>
      </c>
      <c r="L94" s="290" t="s">
        <v>16</v>
      </c>
      <c r="M94" s="290" t="s">
        <v>16</v>
      </c>
      <c r="N94" s="290">
        <v>690</v>
      </c>
      <c r="O94" s="290">
        <v>155</v>
      </c>
      <c r="P94" s="290" t="s">
        <v>16</v>
      </c>
      <c r="Q94" s="290" t="s">
        <v>16</v>
      </c>
      <c r="R94" s="290" t="s">
        <v>16</v>
      </c>
      <c r="S94" s="290" t="s">
        <v>16</v>
      </c>
      <c r="T94" s="290" t="s">
        <v>16</v>
      </c>
      <c r="U94" s="290" t="s">
        <v>16</v>
      </c>
      <c r="V94" s="290" t="s">
        <v>16</v>
      </c>
      <c r="W94" s="290" t="s">
        <v>16</v>
      </c>
      <c r="X94" s="290" t="s">
        <v>16</v>
      </c>
    </row>
    <row r="95" spans="1:24" x14ac:dyDescent="0.2">
      <c r="A95" s="290" t="s">
        <v>650</v>
      </c>
      <c r="B95" s="290" t="s">
        <v>645</v>
      </c>
      <c r="C95" s="290" t="s">
        <v>740</v>
      </c>
      <c r="D95" s="290">
        <v>683</v>
      </c>
      <c r="E95" s="290">
        <v>1393</v>
      </c>
      <c r="F95" s="290">
        <v>209</v>
      </c>
      <c r="G95" s="290">
        <v>14</v>
      </c>
      <c r="H95" s="290" t="s">
        <v>16</v>
      </c>
      <c r="I95" s="290">
        <v>1879</v>
      </c>
      <c r="J95" s="290">
        <v>23</v>
      </c>
      <c r="K95" s="290">
        <v>1360</v>
      </c>
      <c r="L95" s="290" t="s">
        <v>16</v>
      </c>
      <c r="M95" s="290">
        <v>20</v>
      </c>
      <c r="N95" s="290">
        <v>112</v>
      </c>
      <c r="O95" s="290" t="s">
        <v>16</v>
      </c>
      <c r="P95" s="290" t="s">
        <v>16</v>
      </c>
      <c r="Q95" s="290">
        <v>13</v>
      </c>
      <c r="R95" s="290">
        <v>588</v>
      </c>
      <c r="S95" s="290" t="s">
        <v>16</v>
      </c>
      <c r="T95" s="290" t="s">
        <v>16</v>
      </c>
      <c r="U95" s="290" t="s">
        <v>16</v>
      </c>
      <c r="V95" s="290" t="s">
        <v>16</v>
      </c>
      <c r="W95" s="290">
        <v>23</v>
      </c>
      <c r="X95" s="290" t="s">
        <v>16</v>
      </c>
    </row>
    <row r="96" spans="1:24" x14ac:dyDescent="0.2">
      <c r="A96" s="290" t="s">
        <v>649</v>
      </c>
      <c r="B96" s="290" t="s">
        <v>645</v>
      </c>
      <c r="C96" s="290" t="s">
        <v>739</v>
      </c>
      <c r="D96" s="290">
        <v>24791</v>
      </c>
      <c r="E96" s="290">
        <v>20439</v>
      </c>
      <c r="F96" s="290">
        <v>5471</v>
      </c>
      <c r="G96" s="290">
        <v>28106</v>
      </c>
      <c r="H96" s="290">
        <v>14429</v>
      </c>
      <c r="I96" s="290">
        <v>40028</v>
      </c>
      <c r="J96" s="290">
        <v>10164</v>
      </c>
      <c r="K96" s="290">
        <v>11406</v>
      </c>
      <c r="L96" s="290">
        <v>4735</v>
      </c>
      <c r="M96" s="290">
        <v>4122</v>
      </c>
      <c r="N96" s="290">
        <v>59</v>
      </c>
      <c r="O96" s="290">
        <v>388020</v>
      </c>
      <c r="P96" s="290">
        <v>139405</v>
      </c>
      <c r="Q96" s="290">
        <v>66721</v>
      </c>
      <c r="R96" s="290">
        <v>119</v>
      </c>
      <c r="S96" s="290">
        <v>155</v>
      </c>
      <c r="T96" s="290" t="s">
        <v>16</v>
      </c>
      <c r="U96" s="290" t="s">
        <v>16</v>
      </c>
      <c r="V96" s="290" t="s">
        <v>16</v>
      </c>
      <c r="W96" s="290" t="s">
        <v>16</v>
      </c>
      <c r="X96" s="290" t="s">
        <v>16</v>
      </c>
    </row>
    <row r="97" spans="1:24" x14ac:dyDescent="0.2">
      <c r="A97" s="290" t="s">
        <v>647</v>
      </c>
      <c r="B97" s="290" t="s">
        <v>645</v>
      </c>
      <c r="C97" s="290" t="s">
        <v>358</v>
      </c>
      <c r="D97" s="290">
        <v>10020</v>
      </c>
      <c r="E97" s="290">
        <v>14198</v>
      </c>
      <c r="F97" s="290">
        <v>10789</v>
      </c>
      <c r="G97" s="290">
        <v>17908</v>
      </c>
      <c r="H97" s="290">
        <v>15591</v>
      </c>
      <c r="I97" s="290">
        <v>31948</v>
      </c>
      <c r="J97" s="290">
        <v>37044</v>
      </c>
      <c r="K97" s="290">
        <v>16455</v>
      </c>
      <c r="L97" s="290">
        <v>3288</v>
      </c>
      <c r="M97" s="290">
        <v>16311</v>
      </c>
      <c r="N97" s="290">
        <v>8274</v>
      </c>
      <c r="O97" s="290">
        <v>4423</v>
      </c>
      <c r="P97" s="290">
        <v>2114</v>
      </c>
      <c r="Q97" s="290">
        <v>475</v>
      </c>
      <c r="R97" s="290">
        <v>2263</v>
      </c>
      <c r="S97" s="290">
        <v>987</v>
      </c>
      <c r="T97" s="290">
        <v>141</v>
      </c>
      <c r="U97" s="290">
        <v>69</v>
      </c>
      <c r="V97" s="290">
        <v>13</v>
      </c>
      <c r="W97" s="290" t="s">
        <v>16</v>
      </c>
      <c r="X97" s="290" t="s">
        <v>16</v>
      </c>
    </row>
  </sheetData>
  <sortState xmlns:xlrd2="http://schemas.microsoft.com/office/spreadsheetml/2017/richdata2" ref="A13:X97">
    <sortCondition ref="B13:B9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A1:K10"/>
  <sheetViews>
    <sheetView workbookViewId="0">
      <selection activeCell="C17" sqref="C17"/>
    </sheetView>
  </sheetViews>
  <sheetFormatPr baseColWidth="10" defaultColWidth="11" defaultRowHeight="16" x14ac:dyDescent="0.2"/>
  <cols>
    <col min="2" max="2" width="19.6640625" customWidth="1"/>
    <col min="4" max="5" width="11.5" bestFit="1" customWidth="1"/>
  </cols>
  <sheetData>
    <row r="1" spans="1:11" ht="21" x14ac:dyDescent="0.2">
      <c r="A1" s="33" t="s">
        <v>271</v>
      </c>
    </row>
    <row r="2" spans="1:11" x14ac:dyDescent="0.2">
      <c r="A2" t="s">
        <v>399</v>
      </c>
    </row>
    <row r="5" spans="1:11" ht="41" customHeight="1" x14ac:dyDescent="0.2">
      <c r="A5" s="28" t="s">
        <v>393</v>
      </c>
      <c r="C5" s="37">
        <v>2022</v>
      </c>
      <c r="D5" s="37">
        <v>2025</v>
      </c>
      <c r="E5" s="37">
        <v>2030</v>
      </c>
      <c r="F5" s="37">
        <v>2035</v>
      </c>
      <c r="G5" s="37">
        <v>2040</v>
      </c>
      <c r="H5" s="37">
        <v>2045</v>
      </c>
      <c r="I5" s="37">
        <v>2050</v>
      </c>
      <c r="J5" s="37">
        <v>2055</v>
      </c>
      <c r="K5" s="37">
        <v>2060</v>
      </c>
    </row>
    <row r="6" spans="1:11" x14ac:dyDescent="0.2">
      <c r="B6" t="s">
        <v>394</v>
      </c>
      <c r="C6" s="48">
        <v>2000000</v>
      </c>
      <c r="D6" s="24">
        <v>2000000</v>
      </c>
      <c r="E6" s="47">
        <v>2250000</v>
      </c>
      <c r="F6" s="47">
        <v>2250000</v>
      </c>
      <c r="G6" s="47">
        <v>2250000</v>
      </c>
      <c r="H6" s="47">
        <v>2250000</v>
      </c>
      <c r="I6" s="47">
        <v>2250000</v>
      </c>
      <c r="J6" s="47">
        <v>2000000</v>
      </c>
      <c r="K6" s="47">
        <v>1225000</v>
      </c>
    </row>
    <row r="7" spans="1:11" x14ac:dyDescent="0.2">
      <c r="B7" t="s">
        <v>392</v>
      </c>
      <c r="C7" s="47"/>
      <c r="D7" s="47"/>
      <c r="E7" s="47"/>
      <c r="F7" s="47"/>
      <c r="G7" s="47"/>
      <c r="H7" s="47"/>
      <c r="I7" s="47"/>
      <c r="J7" s="47"/>
      <c r="K7" s="47"/>
    </row>
    <row r="8" spans="1:11" x14ac:dyDescent="0.2">
      <c r="B8" t="s">
        <v>395</v>
      </c>
    </row>
    <row r="9" spans="1:11" x14ac:dyDescent="0.2">
      <c r="B9" t="s">
        <v>396</v>
      </c>
    </row>
    <row r="10" spans="1:11" x14ac:dyDescent="0.2">
      <c r="B10" t="s">
        <v>397</v>
      </c>
    </row>
  </sheetData>
  <phoneticPr fontId="27" type="noConversion"/>
  <pageMargins left="0.7" right="0.7" top="0.75" bottom="0.75" header="0.3" footer="0.3"/>
  <pageSetup orientation="portrait" horizontalDpi="0" verticalDpi="0"/>
  <headerFooter>
    <oddFooter>&amp;L&amp;B Confidential&amp;B&amp;C&amp;D&amp;RPage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4D825-35D2-4336-917E-28DE64227FCF}">
  <sheetPr>
    <tabColor rgb="FF92D050"/>
  </sheetPr>
  <dimension ref="A1:X44"/>
  <sheetViews>
    <sheetView topLeftCell="A8" workbookViewId="0">
      <selection activeCell="X13" activeCellId="1" sqref="A13:A44 X13:X44"/>
    </sheetView>
  </sheetViews>
  <sheetFormatPr baseColWidth="10" defaultColWidth="9" defaultRowHeight="14" x14ac:dyDescent="0.2"/>
  <cols>
    <col min="1" max="16384" width="9" style="290"/>
  </cols>
  <sheetData>
    <row r="1" spans="1:24" x14ac:dyDescent="0.2">
      <c r="A1" s="290" t="s">
        <v>291</v>
      </c>
    </row>
    <row r="2" spans="1:24" x14ac:dyDescent="0.2">
      <c r="A2" s="290" t="s">
        <v>738</v>
      </c>
    </row>
    <row r="3" spans="1:24" x14ac:dyDescent="0.2">
      <c r="A3" s="290" t="s">
        <v>737</v>
      </c>
    </row>
    <row r="4" spans="1:24" x14ac:dyDescent="0.2">
      <c r="A4" s="290" t="s">
        <v>3</v>
      </c>
    </row>
    <row r="5" spans="1:24" x14ac:dyDescent="0.2">
      <c r="A5" s="290" t="s">
        <v>4</v>
      </c>
      <c r="C5" s="290" t="s">
        <v>6</v>
      </c>
      <c r="D5" s="290">
        <v>2001</v>
      </c>
      <c r="E5" s="290">
        <v>2002</v>
      </c>
      <c r="F5" s="290">
        <v>2003</v>
      </c>
      <c r="G5" s="290">
        <v>2004</v>
      </c>
      <c r="H5" s="290">
        <v>2005</v>
      </c>
      <c r="I5" s="290">
        <v>2006</v>
      </c>
      <c r="J5" s="290">
        <v>2007</v>
      </c>
      <c r="K5" s="290">
        <v>2008</v>
      </c>
      <c r="L5" s="290">
        <v>2009</v>
      </c>
      <c r="M5" s="290">
        <v>2010</v>
      </c>
      <c r="N5" s="290">
        <v>2011</v>
      </c>
      <c r="O5" s="290">
        <v>2012</v>
      </c>
      <c r="P5" s="290">
        <v>2013</v>
      </c>
      <c r="Q5" s="290">
        <v>2014</v>
      </c>
      <c r="R5" s="290">
        <v>2015</v>
      </c>
      <c r="S5" s="290">
        <v>2016</v>
      </c>
      <c r="T5" s="290">
        <v>2017</v>
      </c>
      <c r="U5" s="290">
        <v>2018</v>
      </c>
      <c r="V5" s="290">
        <v>2019</v>
      </c>
      <c r="W5" s="290">
        <v>2020</v>
      </c>
      <c r="X5" s="290">
        <v>2021</v>
      </c>
    </row>
    <row r="6" spans="1:24" x14ac:dyDescent="0.2">
      <c r="A6" s="290" t="s">
        <v>291</v>
      </c>
    </row>
    <row r="7" spans="1:24" x14ac:dyDescent="0.2">
      <c r="A7" s="290" t="s">
        <v>8</v>
      </c>
      <c r="C7" s="290" t="s">
        <v>9</v>
      </c>
    </row>
    <row r="8" spans="1:24" x14ac:dyDescent="0.2">
      <c r="A8" s="290" t="s">
        <v>10</v>
      </c>
      <c r="C8" s="290" t="s">
        <v>294</v>
      </c>
      <c r="D8" s="290">
        <v>4466107</v>
      </c>
      <c r="E8" s="290">
        <v>4040041</v>
      </c>
      <c r="F8" s="290">
        <v>4225883</v>
      </c>
      <c r="G8" s="290">
        <v>6495477</v>
      </c>
      <c r="H8" s="290">
        <v>7316841</v>
      </c>
      <c r="I8" s="290">
        <v>6230467</v>
      </c>
      <c r="J8" s="290">
        <v>7384103</v>
      </c>
      <c r="K8" s="290">
        <v>8276658</v>
      </c>
      <c r="L8" s="290">
        <v>7812519</v>
      </c>
      <c r="M8" s="290">
        <v>9726942</v>
      </c>
      <c r="N8" s="290">
        <v>10137865</v>
      </c>
      <c r="O8" s="290">
        <v>10987044</v>
      </c>
      <c r="P8" s="290">
        <v>12614163</v>
      </c>
      <c r="Q8" s="290">
        <v>13102400</v>
      </c>
      <c r="R8" s="290">
        <v>10647837</v>
      </c>
      <c r="S8" s="290">
        <v>6987337</v>
      </c>
      <c r="T8" s="290">
        <v>9975264</v>
      </c>
      <c r="U8" s="290">
        <v>11322826</v>
      </c>
      <c r="V8" s="290">
        <v>11287081</v>
      </c>
      <c r="W8" s="290">
        <v>10233929</v>
      </c>
      <c r="X8" s="290">
        <v>9127174</v>
      </c>
    </row>
    <row r="9" spans="1:24" x14ac:dyDescent="0.2">
      <c r="A9" s="290" t="s">
        <v>12</v>
      </c>
      <c r="C9" s="290" t="s">
        <v>295</v>
      </c>
      <c r="D9" s="290">
        <v>60047</v>
      </c>
      <c r="E9" s="290" t="s">
        <v>16</v>
      </c>
      <c r="F9" s="290">
        <v>175522</v>
      </c>
      <c r="G9" s="290">
        <v>481259</v>
      </c>
      <c r="H9" s="290">
        <v>644676</v>
      </c>
      <c r="I9" s="290">
        <v>190831</v>
      </c>
      <c r="J9" s="290">
        <v>11440</v>
      </c>
      <c r="K9" s="290">
        <v>123382</v>
      </c>
      <c r="L9" s="290">
        <v>25703</v>
      </c>
      <c r="M9" s="290">
        <v>352788</v>
      </c>
      <c r="N9" s="290">
        <v>867070</v>
      </c>
      <c r="O9" s="290">
        <v>1377582</v>
      </c>
      <c r="P9" s="290">
        <v>2213250</v>
      </c>
      <c r="Q9" s="290">
        <v>1608416</v>
      </c>
      <c r="R9" s="290">
        <v>1793679</v>
      </c>
      <c r="S9" s="290">
        <v>709460</v>
      </c>
      <c r="T9" s="290">
        <v>223390</v>
      </c>
      <c r="U9" s="290">
        <v>691411</v>
      </c>
      <c r="V9" s="290">
        <v>970838</v>
      </c>
      <c r="W9" s="290">
        <v>1557194</v>
      </c>
      <c r="X9" s="290">
        <v>1379091</v>
      </c>
    </row>
    <row r="10" spans="1:24" x14ac:dyDescent="0.2">
      <c r="A10" s="290" t="s">
        <v>14</v>
      </c>
      <c r="C10" s="290" t="s">
        <v>296</v>
      </c>
      <c r="D10" s="290">
        <v>4406060</v>
      </c>
      <c r="E10" s="290">
        <v>4040041</v>
      </c>
      <c r="F10" s="290">
        <v>4050361</v>
      </c>
      <c r="G10" s="290">
        <v>6014218</v>
      </c>
      <c r="H10" s="290">
        <v>6672165</v>
      </c>
      <c r="I10" s="290">
        <v>6039636</v>
      </c>
      <c r="J10" s="290">
        <v>7372663</v>
      </c>
      <c r="K10" s="290">
        <v>8153276</v>
      </c>
      <c r="L10" s="290">
        <v>7786816</v>
      </c>
      <c r="M10" s="290">
        <v>9374154</v>
      </c>
      <c r="N10" s="290">
        <v>9270795</v>
      </c>
      <c r="O10" s="290">
        <v>9609462</v>
      </c>
      <c r="P10" s="290">
        <v>10400913</v>
      </c>
      <c r="Q10" s="290">
        <v>11493984</v>
      </c>
      <c r="R10" s="290">
        <v>8854158</v>
      </c>
      <c r="S10" s="290">
        <v>6277877</v>
      </c>
      <c r="T10" s="290">
        <v>9751874</v>
      </c>
      <c r="U10" s="290">
        <v>10631415</v>
      </c>
      <c r="V10" s="290">
        <v>10316243</v>
      </c>
      <c r="W10" s="290">
        <v>8676735</v>
      </c>
      <c r="X10" s="290">
        <v>7748083</v>
      </c>
    </row>
    <row r="11" spans="1:24" x14ac:dyDescent="0.2">
      <c r="A11" s="290" t="s">
        <v>15</v>
      </c>
      <c r="C11" s="290" t="s">
        <v>297</v>
      </c>
      <c r="D11" s="290">
        <v>1704</v>
      </c>
      <c r="E11" s="290">
        <v>5585</v>
      </c>
      <c r="F11" s="290">
        <v>12502</v>
      </c>
      <c r="G11" s="290">
        <v>12415</v>
      </c>
      <c r="H11" s="290">
        <v>2171</v>
      </c>
      <c r="I11" s="290">
        <v>2765</v>
      </c>
      <c r="J11" s="290">
        <v>24470</v>
      </c>
      <c r="K11" s="290">
        <v>17769</v>
      </c>
      <c r="L11" s="290">
        <v>19912</v>
      </c>
      <c r="M11" s="290">
        <v>6435</v>
      </c>
      <c r="N11" s="290">
        <v>47823</v>
      </c>
      <c r="O11" s="290">
        <v>14205</v>
      </c>
      <c r="P11" s="290">
        <v>145945</v>
      </c>
      <c r="Q11" s="290">
        <v>3188</v>
      </c>
      <c r="R11" s="290" t="s">
        <v>16</v>
      </c>
      <c r="S11" s="290" t="s">
        <v>16</v>
      </c>
      <c r="T11" s="290" t="s">
        <v>16</v>
      </c>
      <c r="U11" s="290">
        <v>22767</v>
      </c>
      <c r="V11" s="290" t="s">
        <v>16</v>
      </c>
      <c r="W11" s="290" t="s">
        <v>16</v>
      </c>
      <c r="X11" s="290" t="s">
        <v>16</v>
      </c>
    </row>
    <row r="13" spans="1:24" x14ac:dyDescent="0.2">
      <c r="A13" s="290" t="s">
        <v>816</v>
      </c>
      <c r="B13" s="290" t="s">
        <v>645</v>
      </c>
      <c r="C13" s="290" t="s">
        <v>301</v>
      </c>
      <c r="D13" s="290" t="s">
        <v>16</v>
      </c>
      <c r="E13" s="290" t="s">
        <v>16</v>
      </c>
      <c r="F13" s="290" t="s">
        <v>16</v>
      </c>
      <c r="G13" s="290" t="s">
        <v>16</v>
      </c>
      <c r="H13" s="290" t="s">
        <v>16</v>
      </c>
      <c r="I13" s="290" t="s">
        <v>16</v>
      </c>
      <c r="J13" s="290" t="s">
        <v>16</v>
      </c>
      <c r="K13" s="290">
        <v>17</v>
      </c>
      <c r="L13" s="290" t="s">
        <v>16</v>
      </c>
      <c r="M13" s="290" t="s">
        <v>16</v>
      </c>
      <c r="N13" s="290" t="s">
        <v>16</v>
      </c>
      <c r="O13" s="290" t="s">
        <v>16</v>
      </c>
      <c r="P13" s="290" t="s">
        <v>16</v>
      </c>
      <c r="Q13" s="290" t="s">
        <v>16</v>
      </c>
      <c r="R13" s="290" t="s">
        <v>16</v>
      </c>
      <c r="S13" s="290" t="s">
        <v>16</v>
      </c>
      <c r="T13" s="290" t="s">
        <v>16</v>
      </c>
      <c r="U13" s="290" t="s">
        <v>16</v>
      </c>
      <c r="V13" s="290" t="s">
        <v>16</v>
      </c>
      <c r="W13" s="290" t="s">
        <v>16</v>
      </c>
      <c r="X13" s="290" t="s">
        <v>16</v>
      </c>
    </row>
    <row r="14" spans="1:24" x14ac:dyDescent="0.2">
      <c r="A14" s="290" t="s">
        <v>704</v>
      </c>
      <c r="B14" s="290" t="s">
        <v>645</v>
      </c>
      <c r="C14" s="290" t="s">
        <v>308</v>
      </c>
      <c r="D14" s="290" t="s">
        <v>16</v>
      </c>
      <c r="E14" s="290" t="s">
        <v>16</v>
      </c>
      <c r="F14" s="290" t="s">
        <v>16</v>
      </c>
      <c r="G14" s="290" t="s">
        <v>16</v>
      </c>
      <c r="H14" s="290" t="s">
        <v>16</v>
      </c>
      <c r="I14" s="290" t="s">
        <v>16</v>
      </c>
      <c r="J14" s="290" t="s">
        <v>16</v>
      </c>
      <c r="K14" s="290" t="s">
        <v>16</v>
      </c>
      <c r="L14" s="290" t="s">
        <v>16</v>
      </c>
      <c r="M14" s="290" t="s">
        <v>16</v>
      </c>
      <c r="N14" s="290" t="s">
        <v>16</v>
      </c>
      <c r="O14" s="290" t="s">
        <v>16</v>
      </c>
      <c r="P14" s="290" t="s">
        <v>16</v>
      </c>
      <c r="Q14" s="290" t="s">
        <v>16</v>
      </c>
      <c r="R14" s="290" t="s">
        <v>16</v>
      </c>
      <c r="S14" s="290" t="s">
        <v>16</v>
      </c>
      <c r="T14" s="290" t="s">
        <v>16</v>
      </c>
      <c r="U14" s="290">
        <v>96848</v>
      </c>
      <c r="V14" s="290">
        <v>45581</v>
      </c>
      <c r="W14" s="290" t="s">
        <v>16</v>
      </c>
      <c r="X14" s="290" t="s">
        <v>16</v>
      </c>
    </row>
    <row r="15" spans="1:24" x14ac:dyDescent="0.2">
      <c r="A15" s="290" t="s">
        <v>702</v>
      </c>
      <c r="B15" s="290" t="s">
        <v>645</v>
      </c>
      <c r="C15" s="290" t="s">
        <v>328</v>
      </c>
      <c r="D15" s="290" t="s">
        <v>16</v>
      </c>
      <c r="E15" s="290" t="s">
        <v>16</v>
      </c>
      <c r="F15" s="290" t="s">
        <v>16</v>
      </c>
      <c r="G15" s="290" t="s">
        <v>16</v>
      </c>
      <c r="H15" s="290" t="s">
        <v>16</v>
      </c>
      <c r="I15" s="290" t="s">
        <v>16</v>
      </c>
      <c r="J15" s="290" t="s">
        <v>16</v>
      </c>
      <c r="K15" s="290" t="s">
        <v>16</v>
      </c>
      <c r="L15" s="290" t="s">
        <v>16</v>
      </c>
      <c r="M15" s="290" t="s">
        <v>16</v>
      </c>
      <c r="N15" s="290">
        <v>77993</v>
      </c>
      <c r="O15" s="290">
        <v>110999</v>
      </c>
      <c r="P15" s="290" t="s">
        <v>16</v>
      </c>
      <c r="Q15" s="290">
        <v>34871</v>
      </c>
      <c r="R15" s="290" t="s">
        <v>16</v>
      </c>
      <c r="S15" s="290" t="s">
        <v>16</v>
      </c>
      <c r="T15" s="290" t="s">
        <v>16</v>
      </c>
      <c r="U15" s="290" t="s">
        <v>16</v>
      </c>
      <c r="V15" s="290" t="s">
        <v>16</v>
      </c>
      <c r="W15" s="290">
        <v>179055</v>
      </c>
      <c r="X15" s="290" t="s">
        <v>16</v>
      </c>
    </row>
    <row r="16" spans="1:24" x14ac:dyDescent="0.2">
      <c r="A16" s="290" t="s">
        <v>701</v>
      </c>
      <c r="B16" s="290" t="s">
        <v>645</v>
      </c>
      <c r="C16" s="290" t="s">
        <v>315</v>
      </c>
      <c r="D16" s="290">
        <v>60047</v>
      </c>
      <c r="E16" s="290" t="s">
        <v>16</v>
      </c>
      <c r="F16" s="290">
        <v>175522</v>
      </c>
      <c r="G16" s="290">
        <v>481259</v>
      </c>
      <c r="H16" s="290">
        <v>566562</v>
      </c>
      <c r="I16" s="290">
        <v>190666</v>
      </c>
      <c r="J16" s="290">
        <v>11440</v>
      </c>
      <c r="K16" s="290" t="s">
        <v>16</v>
      </c>
      <c r="L16" s="290" t="s">
        <v>16</v>
      </c>
      <c r="M16" s="290" t="s">
        <v>16</v>
      </c>
      <c r="N16" s="290" t="s">
        <v>16</v>
      </c>
      <c r="O16" s="290">
        <v>126213</v>
      </c>
      <c r="P16" s="290">
        <v>108700</v>
      </c>
      <c r="Q16" s="290">
        <v>50469</v>
      </c>
      <c r="R16" s="290">
        <v>99614</v>
      </c>
      <c r="S16" s="290" t="s">
        <v>16</v>
      </c>
      <c r="T16" s="290" t="s">
        <v>16</v>
      </c>
      <c r="U16" s="290">
        <v>12133</v>
      </c>
      <c r="V16" s="290">
        <v>10040</v>
      </c>
      <c r="W16" s="290">
        <v>79464</v>
      </c>
      <c r="X16" s="290">
        <v>20587</v>
      </c>
    </row>
    <row r="17" spans="1:24" x14ac:dyDescent="0.2">
      <c r="A17" s="290" t="s">
        <v>700</v>
      </c>
      <c r="B17" s="290" t="s">
        <v>645</v>
      </c>
      <c r="C17" s="290" t="s">
        <v>319</v>
      </c>
      <c r="D17" s="290" t="s">
        <v>16</v>
      </c>
      <c r="E17" s="290" t="s">
        <v>16</v>
      </c>
      <c r="F17" s="290" t="s">
        <v>16</v>
      </c>
      <c r="G17" s="290" t="s">
        <v>16</v>
      </c>
      <c r="H17" s="290">
        <v>78114</v>
      </c>
      <c r="I17" s="290" t="s">
        <v>16</v>
      </c>
      <c r="J17" s="290" t="s">
        <v>16</v>
      </c>
      <c r="K17" s="290" t="s">
        <v>16</v>
      </c>
      <c r="L17" s="290" t="s">
        <v>16</v>
      </c>
      <c r="M17" s="290" t="s">
        <v>16</v>
      </c>
      <c r="N17" s="290" t="s">
        <v>16</v>
      </c>
      <c r="O17" s="290" t="s">
        <v>16</v>
      </c>
      <c r="P17" s="290" t="s">
        <v>16</v>
      </c>
      <c r="Q17" s="290" t="s">
        <v>16</v>
      </c>
      <c r="R17" s="290" t="s">
        <v>16</v>
      </c>
      <c r="S17" s="290" t="s">
        <v>16</v>
      </c>
      <c r="T17" s="290" t="s">
        <v>16</v>
      </c>
      <c r="U17" s="290" t="s">
        <v>16</v>
      </c>
      <c r="V17" s="290" t="s">
        <v>16</v>
      </c>
      <c r="W17" s="290" t="s">
        <v>16</v>
      </c>
      <c r="X17" s="290" t="s">
        <v>16</v>
      </c>
    </row>
    <row r="18" spans="1:24" x14ac:dyDescent="0.2">
      <c r="A18" s="290" t="s">
        <v>698</v>
      </c>
      <c r="B18" s="290" t="s">
        <v>645</v>
      </c>
      <c r="C18" s="290" t="s">
        <v>304</v>
      </c>
      <c r="D18" s="290" t="s">
        <v>16</v>
      </c>
      <c r="E18" s="290" t="s">
        <v>16</v>
      </c>
      <c r="F18" s="290" t="s">
        <v>16</v>
      </c>
      <c r="G18" s="290" t="s">
        <v>16</v>
      </c>
      <c r="H18" s="290" t="s">
        <v>16</v>
      </c>
      <c r="I18" s="290" t="s">
        <v>16</v>
      </c>
      <c r="J18" s="290" t="s">
        <v>16</v>
      </c>
      <c r="K18" s="290" t="s">
        <v>16</v>
      </c>
      <c r="L18" s="290" t="s">
        <v>16</v>
      </c>
      <c r="M18" s="290" t="s">
        <v>16</v>
      </c>
      <c r="N18" s="290">
        <v>54571</v>
      </c>
      <c r="O18" s="290">
        <v>120103</v>
      </c>
      <c r="P18" s="290" t="s">
        <v>16</v>
      </c>
      <c r="Q18" s="290" t="s">
        <v>16</v>
      </c>
      <c r="R18" s="290" t="s">
        <v>16</v>
      </c>
      <c r="S18" s="290" t="s">
        <v>16</v>
      </c>
      <c r="T18" s="290" t="s">
        <v>16</v>
      </c>
      <c r="U18" s="290">
        <v>146627</v>
      </c>
      <c r="V18" s="290" t="s">
        <v>16</v>
      </c>
      <c r="W18" s="290" t="s">
        <v>16</v>
      </c>
      <c r="X18" s="290">
        <v>76838</v>
      </c>
    </row>
    <row r="19" spans="1:24" x14ac:dyDescent="0.2">
      <c r="A19" s="290" t="s">
        <v>697</v>
      </c>
      <c r="B19" s="290" t="s">
        <v>645</v>
      </c>
      <c r="C19" s="290" t="s">
        <v>316</v>
      </c>
      <c r="D19" s="290" t="s">
        <v>16</v>
      </c>
      <c r="E19" s="290" t="s">
        <v>16</v>
      </c>
      <c r="F19" s="290" t="s">
        <v>16</v>
      </c>
      <c r="G19" s="290" t="s">
        <v>16</v>
      </c>
      <c r="H19" s="290" t="s">
        <v>16</v>
      </c>
      <c r="I19" s="290" t="s">
        <v>16</v>
      </c>
      <c r="J19" s="290" t="s">
        <v>16</v>
      </c>
      <c r="K19" s="290" t="s">
        <v>16</v>
      </c>
      <c r="L19" s="290" t="s">
        <v>16</v>
      </c>
      <c r="M19" s="290" t="s">
        <v>16</v>
      </c>
      <c r="N19" s="290" t="s">
        <v>16</v>
      </c>
      <c r="O19" s="290">
        <v>126032</v>
      </c>
      <c r="P19" s="290" t="s">
        <v>16</v>
      </c>
      <c r="Q19" s="290" t="s">
        <v>16</v>
      </c>
      <c r="R19" s="290" t="s">
        <v>16</v>
      </c>
      <c r="S19" s="290" t="s">
        <v>16</v>
      </c>
      <c r="T19" s="290" t="s">
        <v>16</v>
      </c>
      <c r="U19" s="290" t="s">
        <v>16</v>
      </c>
      <c r="V19" s="290" t="s">
        <v>16</v>
      </c>
      <c r="W19" s="290" t="s">
        <v>16</v>
      </c>
      <c r="X19" s="290">
        <v>374768</v>
      </c>
    </row>
    <row r="20" spans="1:24" x14ac:dyDescent="0.2">
      <c r="A20" s="290" t="s">
        <v>817</v>
      </c>
      <c r="B20" s="290" t="s">
        <v>645</v>
      </c>
      <c r="C20" s="290" t="s">
        <v>313</v>
      </c>
      <c r="D20" s="290" t="s">
        <v>16</v>
      </c>
      <c r="E20" s="290" t="s">
        <v>16</v>
      </c>
      <c r="F20" s="290" t="s">
        <v>16</v>
      </c>
      <c r="G20" s="290" t="s">
        <v>16</v>
      </c>
      <c r="H20" s="290" t="s">
        <v>16</v>
      </c>
      <c r="I20" s="290" t="s">
        <v>16</v>
      </c>
      <c r="J20" s="290" t="s">
        <v>16</v>
      </c>
      <c r="K20" s="290" t="s">
        <v>16</v>
      </c>
      <c r="L20" s="290" t="s">
        <v>16</v>
      </c>
      <c r="M20" s="290" t="s">
        <v>16</v>
      </c>
      <c r="N20" s="290" t="s">
        <v>16</v>
      </c>
      <c r="O20" s="290" t="s">
        <v>16</v>
      </c>
      <c r="P20" s="290" t="s">
        <v>16</v>
      </c>
      <c r="Q20" s="290">
        <v>50</v>
      </c>
      <c r="R20" s="290" t="s">
        <v>16</v>
      </c>
      <c r="S20" s="290" t="s">
        <v>16</v>
      </c>
      <c r="T20" s="290" t="s">
        <v>16</v>
      </c>
      <c r="U20" s="290" t="s">
        <v>16</v>
      </c>
      <c r="V20" s="290">
        <v>54622</v>
      </c>
      <c r="W20" s="290" t="s">
        <v>16</v>
      </c>
      <c r="X20" s="290" t="s">
        <v>16</v>
      </c>
    </row>
    <row r="21" spans="1:24" x14ac:dyDescent="0.2">
      <c r="A21" s="290" t="s">
        <v>693</v>
      </c>
      <c r="B21" s="290" t="s">
        <v>645</v>
      </c>
      <c r="C21" s="290" t="s">
        <v>331</v>
      </c>
      <c r="D21" s="290" t="s">
        <v>16</v>
      </c>
      <c r="E21" s="290" t="s">
        <v>16</v>
      </c>
      <c r="F21" s="290" t="s">
        <v>16</v>
      </c>
      <c r="G21" s="290" t="s">
        <v>16</v>
      </c>
      <c r="H21" s="290" t="s">
        <v>16</v>
      </c>
      <c r="I21" s="290" t="s">
        <v>16</v>
      </c>
      <c r="J21" s="290" t="s">
        <v>16</v>
      </c>
      <c r="K21" s="290" t="s">
        <v>16</v>
      </c>
      <c r="L21" s="290" t="s">
        <v>16</v>
      </c>
      <c r="M21" s="290" t="s">
        <v>16</v>
      </c>
      <c r="N21" s="290">
        <v>75879</v>
      </c>
      <c r="O21" s="290" t="s">
        <v>16</v>
      </c>
      <c r="P21" s="290" t="s">
        <v>16</v>
      </c>
      <c r="Q21" s="290" t="s">
        <v>16</v>
      </c>
      <c r="R21" s="290" t="s">
        <v>16</v>
      </c>
      <c r="S21" s="290" t="s">
        <v>16</v>
      </c>
      <c r="T21" s="290" t="s">
        <v>16</v>
      </c>
      <c r="U21" s="290" t="s">
        <v>16</v>
      </c>
      <c r="V21" s="290" t="s">
        <v>16</v>
      </c>
      <c r="W21" s="290" t="s">
        <v>16</v>
      </c>
      <c r="X21" s="290" t="s">
        <v>16</v>
      </c>
    </row>
    <row r="22" spans="1:24" x14ac:dyDescent="0.2">
      <c r="A22" s="290" t="s">
        <v>691</v>
      </c>
      <c r="B22" s="290" t="s">
        <v>645</v>
      </c>
      <c r="C22" s="290" t="s">
        <v>305</v>
      </c>
      <c r="D22" s="290" t="s">
        <v>16</v>
      </c>
      <c r="E22" s="290" t="s">
        <v>16</v>
      </c>
      <c r="F22" s="290" t="s">
        <v>16</v>
      </c>
      <c r="G22" s="290" t="s">
        <v>16</v>
      </c>
      <c r="H22" s="290" t="s">
        <v>16</v>
      </c>
      <c r="I22" s="290" t="s">
        <v>16</v>
      </c>
      <c r="J22" s="290" t="s">
        <v>16</v>
      </c>
      <c r="K22" s="290" t="s">
        <v>16</v>
      </c>
      <c r="L22" s="290" t="s">
        <v>16</v>
      </c>
      <c r="M22" s="290" t="s">
        <v>16</v>
      </c>
      <c r="N22" s="290" t="s">
        <v>16</v>
      </c>
      <c r="O22" s="290" t="s">
        <v>16</v>
      </c>
      <c r="P22" s="290">
        <v>65101</v>
      </c>
      <c r="Q22" s="290">
        <v>162229</v>
      </c>
      <c r="R22" s="290" t="s">
        <v>16</v>
      </c>
      <c r="S22" s="290" t="s">
        <v>16</v>
      </c>
      <c r="T22" s="290" t="s">
        <v>16</v>
      </c>
      <c r="U22" s="290" t="s">
        <v>16</v>
      </c>
      <c r="V22" s="290" t="s">
        <v>16</v>
      </c>
      <c r="W22" s="290">
        <v>23047</v>
      </c>
      <c r="X22" s="290">
        <v>153057</v>
      </c>
    </row>
    <row r="23" spans="1:24" x14ac:dyDescent="0.2">
      <c r="A23" s="290" t="s">
        <v>689</v>
      </c>
      <c r="B23" s="290" t="s">
        <v>645</v>
      </c>
      <c r="C23" s="290" t="s">
        <v>303</v>
      </c>
      <c r="D23" s="290" t="s">
        <v>16</v>
      </c>
      <c r="E23" s="290" t="s">
        <v>16</v>
      </c>
      <c r="F23" s="290" t="s">
        <v>16</v>
      </c>
      <c r="G23" s="290" t="s">
        <v>16</v>
      </c>
      <c r="H23" s="290" t="s">
        <v>16</v>
      </c>
      <c r="I23" s="290" t="s">
        <v>16</v>
      </c>
      <c r="J23" s="290" t="s">
        <v>16</v>
      </c>
      <c r="K23" s="290" t="s">
        <v>16</v>
      </c>
      <c r="L23" s="290" t="s">
        <v>16</v>
      </c>
      <c r="M23" s="290" t="s">
        <v>16</v>
      </c>
      <c r="N23" s="290" t="s">
        <v>16</v>
      </c>
      <c r="O23" s="290" t="s">
        <v>16</v>
      </c>
      <c r="P23" s="290" t="s">
        <v>16</v>
      </c>
      <c r="Q23" s="290" t="s">
        <v>16</v>
      </c>
      <c r="R23" s="290" t="s">
        <v>16</v>
      </c>
      <c r="S23" s="290" t="s">
        <v>16</v>
      </c>
      <c r="T23" s="290" t="s">
        <v>16</v>
      </c>
      <c r="U23" s="290" t="s">
        <v>16</v>
      </c>
      <c r="V23" s="290" t="s">
        <v>16</v>
      </c>
      <c r="W23" s="290">
        <v>251796</v>
      </c>
      <c r="X23" s="290">
        <v>186099</v>
      </c>
    </row>
    <row r="24" spans="1:24" x14ac:dyDescent="0.2">
      <c r="A24" s="290" t="s">
        <v>688</v>
      </c>
      <c r="B24" s="290" t="s">
        <v>645</v>
      </c>
      <c r="C24" s="290" t="s">
        <v>333</v>
      </c>
      <c r="D24" s="290" t="s">
        <v>16</v>
      </c>
      <c r="E24" s="290" t="s">
        <v>16</v>
      </c>
      <c r="F24" s="290" t="s">
        <v>16</v>
      </c>
      <c r="G24" s="290" t="s">
        <v>16</v>
      </c>
      <c r="H24" s="290" t="s">
        <v>16</v>
      </c>
      <c r="I24" s="290" t="s">
        <v>16</v>
      </c>
      <c r="J24" s="290" t="s">
        <v>16</v>
      </c>
      <c r="K24" s="290" t="s">
        <v>16</v>
      </c>
      <c r="L24" s="290" t="s">
        <v>16</v>
      </c>
      <c r="M24" s="290" t="s">
        <v>16</v>
      </c>
      <c r="N24" s="290" t="s">
        <v>16</v>
      </c>
      <c r="O24" s="290">
        <v>19</v>
      </c>
      <c r="P24" s="290" t="s">
        <v>16</v>
      </c>
      <c r="Q24" s="290" t="s">
        <v>16</v>
      </c>
      <c r="R24" s="290" t="s">
        <v>16</v>
      </c>
      <c r="S24" s="290" t="s">
        <v>16</v>
      </c>
      <c r="T24" s="290" t="s">
        <v>16</v>
      </c>
      <c r="U24" s="290" t="s">
        <v>16</v>
      </c>
      <c r="V24" s="290" t="s">
        <v>16</v>
      </c>
      <c r="W24" s="290">
        <v>55116</v>
      </c>
      <c r="X24" s="290" t="s">
        <v>16</v>
      </c>
    </row>
    <row r="25" spans="1:24" x14ac:dyDescent="0.2">
      <c r="A25" s="290" t="s">
        <v>686</v>
      </c>
      <c r="B25" s="290" t="s">
        <v>645</v>
      </c>
      <c r="C25" s="290" t="s">
        <v>325</v>
      </c>
      <c r="D25" s="290" t="s">
        <v>16</v>
      </c>
      <c r="E25" s="290" t="s">
        <v>16</v>
      </c>
      <c r="F25" s="290" t="s">
        <v>16</v>
      </c>
      <c r="G25" s="290" t="s">
        <v>16</v>
      </c>
      <c r="H25" s="290" t="s">
        <v>16</v>
      </c>
      <c r="I25" s="290" t="s">
        <v>16</v>
      </c>
      <c r="J25" s="290" t="s">
        <v>16</v>
      </c>
      <c r="K25" s="290" t="s">
        <v>16</v>
      </c>
      <c r="L25" s="290" t="s">
        <v>16</v>
      </c>
      <c r="M25" s="290" t="s">
        <v>16</v>
      </c>
      <c r="N25" s="290" t="s">
        <v>16</v>
      </c>
      <c r="O25" s="290" t="s">
        <v>16</v>
      </c>
      <c r="P25" s="290">
        <v>357637</v>
      </c>
      <c r="Q25" s="290">
        <v>362563</v>
      </c>
      <c r="R25" s="290">
        <v>561648</v>
      </c>
      <c r="S25" s="290">
        <v>154371</v>
      </c>
      <c r="T25" s="290" t="s">
        <v>16</v>
      </c>
      <c r="U25" s="290" t="s">
        <v>16</v>
      </c>
      <c r="V25" s="290">
        <v>79578</v>
      </c>
      <c r="W25" s="290">
        <v>127703</v>
      </c>
      <c r="X25" s="290">
        <v>17770</v>
      </c>
    </row>
    <row r="26" spans="1:24" x14ac:dyDescent="0.2">
      <c r="A26" s="290" t="s">
        <v>723</v>
      </c>
      <c r="B26" s="290" t="s">
        <v>645</v>
      </c>
      <c r="C26" s="290" t="s">
        <v>307</v>
      </c>
      <c r="D26" s="290" t="s">
        <v>16</v>
      </c>
      <c r="E26" s="290" t="s">
        <v>16</v>
      </c>
      <c r="F26" s="290" t="s">
        <v>16</v>
      </c>
      <c r="G26" s="290" t="s">
        <v>16</v>
      </c>
      <c r="H26" s="290" t="s">
        <v>16</v>
      </c>
      <c r="I26" s="290" t="s">
        <v>16</v>
      </c>
      <c r="J26" s="290" t="s">
        <v>16</v>
      </c>
      <c r="K26" s="290" t="s">
        <v>16</v>
      </c>
      <c r="L26" s="290" t="s">
        <v>16</v>
      </c>
      <c r="M26" s="290" t="s">
        <v>16</v>
      </c>
      <c r="N26" s="290" t="s">
        <v>16</v>
      </c>
      <c r="O26" s="290" t="s">
        <v>16</v>
      </c>
      <c r="P26" s="290" t="s">
        <v>16</v>
      </c>
      <c r="Q26" s="290" t="s">
        <v>16</v>
      </c>
      <c r="R26" s="290" t="s">
        <v>16</v>
      </c>
      <c r="S26" s="290" t="s">
        <v>16</v>
      </c>
      <c r="T26" s="290" t="s">
        <v>16</v>
      </c>
      <c r="U26" s="290">
        <v>118011</v>
      </c>
      <c r="V26" s="290" t="s">
        <v>16</v>
      </c>
      <c r="W26" s="290">
        <v>51015</v>
      </c>
      <c r="X26" s="290" t="s">
        <v>16</v>
      </c>
    </row>
    <row r="27" spans="1:24" x14ac:dyDescent="0.2">
      <c r="A27" s="290" t="s">
        <v>683</v>
      </c>
      <c r="B27" s="290" t="s">
        <v>645</v>
      </c>
      <c r="C27" s="290" t="s">
        <v>317</v>
      </c>
      <c r="D27" s="290" t="s">
        <v>16</v>
      </c>
      <c r="E27" s="290" t="s">
        <v>16</v>
      </c>
      <c r="F27" s="290" t="s">
        <v>16</v>
      </c>
      <c r="G27" s="290" t="s">
        <v>16</v>
      </c>
      <c r="H27" s="290" t="s">
        <v>16</v>
      </c>
      <c r="I27" s="290" t="s">
        <v>16</v>
      </c>
      <c r="J27" s="290" t="s">
        <v>16</v>
      </c>
      <c r="K27" s="290" t="s">
        <v>16</v>
      </c>
      <c r="L27" s="290" t="s">
        <v>16</v>
      </c>
      <c r="M27" s="290" t="s">
        <v>16</v>
      </c>
      <c r="N27" s="290" t="s">
        <v>16</v>
      </c>
      <c r="O27" s="290" t="s">
        <v>16</v>
      </c>
      <c r="P27" s="290" t="s">
        <v>16</v>
      </c>
      <c r="Q27" s="290" t="s">
        <v>16</v>
      </c>
      <c r="R27" s="290" t="s">
        <v>16</v>
      </c>
      <c r="S27" s="290" t="s">
        <v>16</v>
      </c>
      <c r="T27" s="290" t="s">
        <v>16</v>
      </c>
      <c r="U27" s="290" t="s">
        <v>16</v>
      </c>
      <c r="V27" s="290">
        <v>180606</v>
      </c>
      <c r="W27" s="290" t="s">
        <v>16</v>
      </c>
      <c r="X27" s="290" t="s">
        <v>16</v>
      </c>
    </row>
    <row r="28" spans="1:24" x14ac:dyDescent="0.2">
      <c r="A28" s="290" t="s">
        <v>680</v>
      </c>
      <c r="B28" s="290" t="s">
        <v>645</v>
      </c>
      <c r="C28" s="290" t="s">
        <v>327</v>
      </c>
      <c r="D28" s="290" t="s">
        <v>16</v>
      </c>
      <c r="E28" s="290" t="s">
        <v>16</v>
      </c>
      <c r="F28" s="290" t="s">
        <v>16</v>
      </c>
      <c r="G28" s="290" t="s">
        <v>16</v>
      </c>
      <c r="H28" s="290" t="s">
        <v>16</v>
      </c>
      <c r="I28" s="290">
        <v>165</v>
      </c>
      <c r="J28" s="290" t="s">
        <v>16</v>
      </c>
      <c r="K28" s="290">
        <v>84820</v>
      </c>
      <c r="L28" s="290">
        <v>25703</v>
      </c>
      <c r="M28" s="290">
        <v>119738</v>
      </c>
      <c r="N28" s="290" t="s">
        <v>16</v>
      </c>
      <c r="O28" s="290" t="s">
        <v>16</v>
      </c>
      <c r="P28" s="290" t="s">
        <v>16</v>
      </c>
      <c r="Q28" s="290" t="s">
        <v>16</v>
      </c>
      <c r="R28" s="290" t="s">
        <v>16</v>
      </c>
      <c r="S28" s="290" t="s">
        <v>16</v>
      </c>
      <c r="T28" s="290" t="s">
        <v>16</v>
      </c>
      <c r="U28" s="290" t="s">
        <v>16</v>
      </c>
      <c r="V28" s="290" t="s">
        <v>16</v>
      </c>
      <c r="W28" s="290" t="s">
        <v>16</v>
      </c>
      <c r="X28" s="290" t="s">
        <v>16</v>
      </c>
    </row>
    <row r="29" spans="1:24" x14ac:dyDescent="0.2">
      <c r="A29" s="290" t="s">
        <v>679</v>
      </c>
      <c r="B29" s="290" t="s">
        <v>645</v>
      </c>
      <c r="C29" s="290" t="s">
        <v>310</v>
      </c>
      <c r="D29" s="290" t="s">
        <v>16</v>
      </c>
      <c r="E29" s="290" t="s">
        <v>16</v>
      </c>
      <c r="F29" s="290" t="s">
        <v>16</v>
      </c>
      <c r="G29" s="290" t="s">
        <v>16</v>
      </c>
      <c r="H29" s="290" t="s">
        <v>16</v>
      </c>
      <c r="I29" s="290" t="s">
        <v>16</v>
      </c>
      <c r="J29" s="290" t="s">
        <v>16</v>
      </c>
      <c r="K29" s="290">
        <v>18</v>
      </c>
      <c r="L29" s="290" t="s">
        <v>16</v>
      </c>
      <c r="M29" s="290" t="s">
        <v>16</v>
      </c>
      <c r="N29" s="290" t="s">
        <v>16</v>
      </c>
      <c r="O29" s="290">
        <v>20</v>
      </c>
      <c r="P29" s="290" t="s">
        <v>16</v>
      </c>
      <c r="Q29" s="290" t="s">
        <v>16</v>
      </c>
      <c r="R29" s="290">
        <v>36081</v>
      </c>
      <c r="S29" s="290" t="s">
        <v>16</v>
      </c>
      <c r="T29" s="290" t="s">
        <v>16</v>
      </c>
      <c r="U29" s="290" t="s">
        <v>16</v>
      </c>
      <c r="V29" s="290" t="s">
        <v>16</v>
      </c>
      <c r="W29" s="290">
        <v>36151</v>
      </c>
      <c r="X29" s="290">
        <v>36376</v>
      </c>
    </row>
    <row r="30" spans="1:24" x14ac:dyDescent="0.2">
      <c r="A30" s="290" t="s">
        <v>678</v>
      </c>
      <c r="B30" s="290" t="s">
        <v>645</v>
      </c>
      <c r="C30" s="290" t="s">
        <v>318</v>
      </c>
      <c r="D30" s="290" t="s">
        <v>16</v>
      </c>
      <c r="E30" s="290" t="s">
        <v>16</v>
      </c>
      <c r="F30" s="290" t="s">
        <v>16</v>
      </c>
      <c r="G30" s="290" t="s">
        <v>16</v>
      </c>
      <c r="H30" s="290" t="s">
        <v>16</v>
      </c>
      <c r="I30" s="290" t="s">
        <v>16</v>
      </c>
      <c r="J30" s="290" t="s">
        <v>16</v>
      </c>
      <c r="K30" s="290" t="s">
        <v>16</v>
      </c>
      <c r="L30" s="290" t="s">
        <v>16</v>
      </c>
      <c r="M30" s="290" t="s">
        <v>16</v>
      </c>
      <c r="N30" s="290">
        <v>75921</v>
      </c>
      <c r="O30" s="290" t="s">
        <v>16</v>
      </c>
      <c r="P30" s="290" t="s">
        <v>16</v>
      </c>
      <c r="Q30" s="290" t="s">
        <v>16</v>
      </c>
      <c r="R30" s="290">
        <v>34</v>
      </c>
      <c r="S30" s="290" t="s">
        <v>16</v>
      </c>
      <c r="T30" s="290" t="s">
        <v>16</v>
      </c>
      <c r="U30" s="290">
        <v>42439</v>
      </c>
      <c r="V30" s="290" t="s">
        <v>16</v>
      </c>
      <c r="W30" s="290" t="s">
        <v>16</v>
      </c>
      <c r="X30" s="290" t="s">
        <v>16</v>
      </c>
    </row>
    <row r="31" spans="1:24" x14ac:dyDescent="0.2">
      <c r="A31" s="290" t="s">
        <v>673</v>
      </c>
      <c r="B31" s="290" t="s">
        <v>645</v>
      </c>
      <c r="C31" s="290" t="s">
        <v>302</v>
      </c>
      <c r="D31" s="290" t="s">
        <v>16</v>
      </c>
      <c r="E31" s="290" t="s">
        <v>16</v>
      </c>
      <c r="F31" s="290" t="s">
        <v>16</v>
      </c>
      <c r="G31" s="290" t="s">
        <v>16</v>
      </c>
      <c r="H31" s="290" t="s">
        <v>16</v>
      </c>
      <c r="I31" s="290" t="s">
        <v>16</v>
      </c>
      <c r="J31" s="290" t="s">
        <v>16</v>
      </c>
      <c r="K31" s="290" t="s">
        <v>16</v>
      </c>
      <c r="L31" s="290" t="s">
        <v>16</v>
      </c>
      <c r="M31" s="290" t="s">
        <v>16</v>
      </c>
      <c r="N31" s="290" t="s">
        <v>16</v>
      </c>
      <c r="O31" s="290" t="s">
        <v>16</v>
      </c>
      <c r="P31" s="290" t="s">
        <v>16</v>
      </c>
      <c r="Q31" s="290" t="s">
        <v>16</v>
      </c>
      <c r="R31" s="290" t="s">
        <v>16</v>
      </c>
      <c r="S31" s="290" t="s">
        <v>16</v>
      </c>
      <c r="T31" s="290" t="s">
        <v>16</v>
      </c>
      <c r="U31" s="290" t="s">
        <v>16</v>
      </c>
      <c r="V31" s="290">
        <v>39817</v>
      </c>
      <c r="W31" s="290" t="s">
        <v>16</v>
      </c>
      <c r="X31" s="290" t="s">
        <v>16</v>
      </c>
    </row>
    <row r="32" spans="1:24" x14ac:dyDescent="0.2">
      <c r="A32" s="290" t="s">
        <v>672</v>
      </c>
      <c r="B32" s="290" t="s">
        <v>645</v>
      </c>
      <c r="C32" s="290" t="s">
        <v>324</v>
      </c>
      <c r="D32" s="290" t="s">
        <v>16</v>
      </c>
      <c r="E32" s="290" t="s">
        <v>16</v>
      </c>
      <c r="F32" s="290" t="s">
        <v>16</v>
      </c>
      <c r="G32" s="290" t="s">
        <v>16</v>
      </c>
      <c r="H32" s="290" t="s">
        <v>16</v>
      </c>
      <c r="I32" s="290" t="s">
        <v>16</v>
      </c>
      <c r="J32" s="290" t="s">
        <v>16</v>
      </c>
      <c r="K32" s="290" t="s">
        <v>16</v>
      </c>
      <c r="L32" s="290" t="s">
        <v>16</v>
      </c>
      <c r="M32" s="290" t="s">
        <v>16</v>
      </c>
      <c r="N32" s="290" t="s">
        <v>16</v>
      </c>
      <c r="O32" s="290">
        <v>153901</v>
      </c>
      <c r="P32" s="290">
        <v>494335</v>
      </c>
      <c r="Q32" s="290">
        <v>192625</v>
      </c>
      <c r="R32" s="290">
        <v>776428</v>
      </c>
      <c r="S32" s="290">
        <v>555089</v>
      </c>
      <c r="T32" s="290" t="s">
        <v>16</v>
      </c>
      <c r="U32" s="290" t="s">
        <v>16</v>
      </c>
      <c r="V32" s="290">
        <v>70221</v>
      </c>
      <c r="W32" s="290">
        <v>532497</v>
      </c>
      <c r="X32" s="290">
        <v>253436</v>
      </c>
    </row>
    <row r="33" spans="1:24" x14ac:dyDescent="0.2">
      <c r="A33" s="290" t="s">
        <v>670</v>
      </c>
      <c r="B33" s="290" t="s">
        <v>645</v>
      </c>
      <c r="C33" s="290" t="s">
        <v>332</v>
      </c>
      <c r="D33" s="290" t="s">
        <v>16</v>
      </c>
      <c r="E33" s="290" t="s">
        <v>16</v>
      </c>
      <c r="F33" s="290" t="s">
        <v>16</v>
      </c>
      <c r="G33" s="290" t="s">
        <v>16</v>
      </c>
      <c r="H33" s="290" t="s">
        <v>16</v>
      </c>
      <c r="I33" s="290" t="s">
        <v>16</v>
      </c>
      <c r="J33" s="290" t="s">
        <v>16</v>
      </c>
      <c r="K33" s="290">
        <v>1668</v>
      </c>
      <c r="L33" s="290" t="s">
        <v>16</v>
      </c>
      <c r="M33" s="290" t="s">
        <v>16</v>
      </c>
      <c r="N33" s="290" t="s">
        <v>16</v>
      </c>
      <c r="O33" s="290" t="s">
        <v>16</v>
      </c>
      <c r="P33" s="290" t="s">
        <v>16</v>
      </c>
      <c r="Q33" s="290" t="s">
        <v>16</v>
      </c>
      <c r="R33" s="290" t="s">
        <v>16</v>
      </c>
      <c r="S33" s="290" t="s">
        <v>16</v>
      </c>
      <c r="T33" s="290" t="s">
        <v>16</v>
      </c>
      <c r="U33" s="290" t="s">
        <v>16</v>
      </c>
      <c r="V33" s="290" t="s">
        <v>16</v>
      </c>
      <c r="W33" s="290" t="s">
        <v>16</v>
      </c>
      <c r="X33" s="290" t="s">
        <v>16</v>
      </c>
    </row>
    <row r="34" spans="1:24" x14ac:dyDescent="0.2">
      <c r="A34" s="290" t="s">
        <v>667</v>
      </c>
      <c r="B34" s="290" t="s">
        <v>645</v>
      </c>
      <c r="C34" s="290" t="s">
        <v>311</v>
      </c>
      <c r="D34" s="290" t="s">
        <v>16</v>
      </c>
      <c r="E34" s="290" t="s">
        <v>16</v>
      </c>
      <c r="F34" s="290" t="s">
        <v>16</v>
      </c>
      <c r="G34" s="290" t="s">
        <v>16</v>
      </c>
      <c r="H34" s="290" t="s">
        <v>16</v>
      </c>
      <c r="I34" s="290" t="s">
        <v>16</v>
      </c>
      <c r="J34" s="290" t="s">
        <v>16</v>
      </c>
      <c r="K34" s="290" t="s">
        <v>16</v>
      </c>
      <c r="L34" s="290" t="s">
        <v>16</v>
      </c>
      <c r="M34" s="290" t="s">
        <v>16</v>
      </c>
      <c r="N34" s="290" t="s">
        <v>16</v>
      </c>
      <c r="O34" s="290" t="s">
        <v>16</v>
      </c>
      <c r="P34" s="290">
        <v>19941</v>
      </c>
      <c r="Q34" s="290" t="s">
        <v>16</v>
      </c>
      <c r="R34" s="290" t="s">
        <v>16</v>
      </c>
      <c r="S34" s="290" t="s">
        <v>16</v>
      </c>
      <c r="T34" s="290" t="s">
        <v>16</v>
      </c>
      <c r="U34" s="290" t="s">
        <v>16</v>
      </c>
      <c r="V34" s="290" t="s">
        <v>16</v>
      </c>
      <c r="W34" s="290" t="s">
        <v>16</v>
      </c>
      <c r="X34" s="290">
        <v>36376</v>
      </c>
    </row>
    <row r="35" spans="1:24" x14ac:dyDescent="0.2">
      <c r="A35" s="290" t="s">
        <v>666</v>
      </c>
      <c r="B35" s="290" t="s">
        <v>645</v>
      </c>
      <c r="C35" s="290" t="s">
        <v>314</v>
      </c>
      <c r="D35" s="290" t="s">
        <v>16</v>
      </c>
      <c r="E35" s="290" t="s">
        <v>16</v>
      </c>
      <c r="F35" s="290" t="s">
        <v>16</v>
      </c>
      <c r="G35" s="290" t="s">
        <v>16</v>
      </c>
      <c r="H35" s="290" t="s">
        <v>16</v>
      </c>
      <c r="I35" s="290" t="s">
        <v>16</v>
      </c>
      <c r="J35" s="290" t="s">
        <v>16</v>
      </c>
      <c r="K35" s="290" t="s">
        <v>16</v>
      </c>
      <c r="L35" s="290" t="s">
        <v>16</v>
      </c>
      <c r="M35" s="290" t="s">
        <v>16</v>
      </c>
      <c r="N35" s="290" t="s">
        <v>16</v>
      </c>
      <c r="O35" s="290" t="s">
        <v>16</v>
      </c>
      <c r="P35" s="290" t="s">
        <v>16</v>
      </c>
      <c r="Q35" s="290" t="s">
        <v>16</v>
      </c>
      <c r="R35" s="290" t="s">
        <v>16</v>
      </c>
      <c r="S35" s="290" t="s">
        <v>16</v>
      </c>
      <c r="T35" s="290" t="s">
        <v>16</v>
      </c>
      <c r="U35" s="290" t="s">
        <v>16</v>
      </c>
      <c r="V35" s="290" t="s">
        <v>16</v>
      </c>
      <c r="W35" s="290" t="s">
        <v>16</v>
      </c>
      <c r="X35" s="290">
        <v>31581</v>
      </c>
    </row>
    <row r="36" spans="1:24" x14ac:dyDescent="0.2">
      <c r="A36" s="290" t="s">
        <v>663</v>
      </c>
      <c r="B36" s="290" t="s">
        <v>645</v>
      </c>
      <c r="C36" s="290" t="s">
        <v>321</v>
      </c>
      <c r="D36" s="290" t="s">
        <v>16</v>
      </c>
      <c r="E36" s="290" t="s">
        <v>16</v>
      </c>
      <c r="F36" s="290" t="s">
        <v>16</v>
      </c>
      <c r="G36" s="290" t="s">
        <v>16</v>
      </c>
      <c r="H36" s="290" t="s">
        <v>16</v>
      </c>
      <c r="I36" s="290" t="s">
        <v>16</v>
      </c>
      <c r="J36" s="290" t="s">
        <v>16</v>
      </c>
      <c r="K36" s="290" t="s">
        <v>16</v>
      </c>
      <c r="L36" s="290" t="s">
        <v>16</v>
      </c>
      <c r="M36" s="290" t="s">
        <v>16</v>
      </c>
      <c r="N36" s="290" t="s">
        <v>16</v>
      </c>
      <c r="O36" s="290" t="s">
        <v>16</v>
      </c>
      <c r="P36" s="290" t="s">
        <v>16</v>
      </c>
      <c r="Q36" s="290" t="s">
        <v>16</v>
      </c>
      <c r="R36" s="290" t="s">
        <v>16</v>
      </c>
      <c r="S36" s="290" t="s">
        <v>16</v>
      </c>
      <c r="T36" s="290" t="s">
        <v>16</v>
      </c>
      <c r="U36" s="290" t="s">
        <v>16</v>
      </c>
      <c r="V36" s="290">
        <v>36069</v>
      </c>
      <c r="W36" s="290" t="s">
        <v>16</v>
      </c>
      <c r="X36" s="290" t="s">
        <v>16</v>
      </c>
    </row>
    <row r="37" spans="1:24" x14ac:dyDescent="0.2">
      <c r="A37" s="290" t="s">
        <v>660</v>
      </c>
      <c r="B37" s="290" t="s">
        <v>645</v>
      </c>
      <c r="C37" s="290" t="s">
        <v>320</v>
      </c>
      <c r="D37" s="290" t="s">
        <v>16</v>
      </c>
      <c r="E37" s="290" t="s">
        <v>16</v>
      </c>
      <c r="F37" s="290" t="s">
        <v>16</v>
      </c>
      <c r="G37" s="290" t="s">
        <v>16</v>
      </c>
      <c r="H37" s="290" t="s">
        <v>16</v>
      </c>
      <c r="I37" s="290" t="s">
        <v>16</v>
      </c>
      <c r="J37" s="290" t="s">
        <v>16</v>
      </c>
      <c r="K37" s="290" t="s">
        <v>16</v>
      </c>
      <c r="L37" s="290" t="s">
        <v>16</v>
      </c>
      <c r="M37" s="290" t="s">
        <v>16</v>
      </c>
      <c r="N37" s="290" t="s">
        <v>16</v>
      </c>
      <c r="O37" s="290" t="s">
        <v>16</v>
      </c>
      <c r="P37" s="290" t="s">
        <v>16</v>
      </c>
      <c r="Q37" s="290" t="s">
        <v>16</v>
      </c>
      <c r="R37" s="290" t="s">
        <v>16</v>
      </c>
      <c r="S37" s="290" t="s">
        <v>16</v>
      </c>
      <c r="T37" s="290">
        <v>12321</v>
      </c>
      <c r="U37" s="290" t="s">
        <v>16</v>
      </c>
      <c r="V37" s="290" t="s">
        <v>16</v>
      </c>
      <c r="W37" s="290" t="s">
        <v>16</v>
      </c>
      <c r="X37" s="290" t="s">
        <v>16</v>
      </c>
    </row>
    <row r="38" spans="1:24" x14ac:dyDescent="0.2">
      <c r="A38" s="290" t="s">
        <v>658</v>
      </c>
      <c r="B38" s="290" t="s">
        <v>645</v>
      </c>
      <c r="C38" s="290" t="s">
        <v>334</v>
      </c>
      <c r="D38" s="290" t="s">
        <v>16</v>
      </c>
      <c r="E38" s="290" t="s">
        <v>16</v>
      </c>
      <c r="F38" s="290" t="s">
        <v>16</v>
      </c>
      <c r="G38" s="290" t="s">
        <v>16</v>
      </c>
      <c r="H38" s="290" t="s">
        <v>16</v>
      </c>
      <c r="I38" s="290" t="s">
        <v>16</v>
      </c>
      <c r="J38" s="290" t="s">
        <v>16</v>
      </c>
      <c r="K38" s="290" t="s">
        <v>16</v>
      </c>
      <c r="L38" s="290" t="s">
        <v>16</v>
      </c>
      <c r="M38" s="290" t="s">
        <v>16</v>
      </c>
      <c r="N38" s="290" t="s">
        <v>16</v>
      </c>
      <c r="O38" s="290" t="s">
        <v>16</v>
      </c>
      <c r="P38" s="290" t="s">
        <v>16</v>
      </c>
      <c r="Q38" s="290" t="s">
        <v>16</v>
      </c>
      <c r="R38" s="290" t="s">
        <v>16</v>
      </c>
      <c r="S38" s="290" t="s">
        <v>16</v>
      </c>
      <c r="T38" s="290" t="s">
        <v>16</v>
      </c>
      <c r="U38" s="290" t="s">
        <v>16</v>
      </c>
      <c r="V38" s="290" t="s">
        <v>16</v>
      </c>
      <c r="W38" s="290">
        <v>114235</v>
      </c>
      <c r="X38" s="290" t="s">
        <v>16</v>
      </c>
    </row>
    <row r="39" spans="1:24" x14ac:dyDescent="0.2">
      <c r="A39" s="290" t="s">
        <v>657</v>
      </c>
      <c r="B39" s="290" t="s">
        <v>645</v>
      </c>
      <c r="C39" s="290" t="s">
        <v>329</v>
      </c>
      <c r="D39" s="290" t="s">
        <v>16</v>
      </c>
      <c r="E39" s="290" t="s">
        <v>16</v>
      </c>
      <c r="F39" s="290" t="s">
        <v>16</v>
      </c>
      <c r="G39" s="290" t="s">
        <v>16</v>
      </c>
      <c r="H39" s="290" t="s">
        <v>16</v>
      </c>
      <c r="I39" s="290" t="s">
        <v>16</v>
      </c>
      <c r="J39" s="290" t="s">
        <v>16</v>
      </c>
      <c r="K39" s="290" t="s">
        <v>16</v>
      </c>
      <c r="L39" s="290" t="s">
        <v>16</v>
      </c>
      <c r="M39" s="290" t="s">
        <v>16</v>
      </c>
      <c r="N39" s="290" t="s">
        <v>16</v>
      </c>
      <c r="O39" s="290" t="s">
        <v>16</v>
      </c>
      <c r="P39" s="290">
        <v>76418</v>
      </c>
      <c r="Q39" s="290" t="s">
        <v>16</v>
      </c>
      <c r="R39" s="290" t="s">
        <v>16</v>
      </c>
      <c r="S39" s="290" t="s">
        <v>16</v>
      </c>
      <c r="T39" s="290">
        <v>59809</v>
      </c>
      <c r="U39" s="290">
        <v>73970</v>
      </c>
      <c r="V39" s="290">
        <v>78213</v>
      </c>
      <c r="W39" s="290" t="s">
        <v>16</v>
      </c>
      <c r="X39" s="290">
        <v>56113</v>
      </c>
    </row>
    <row r="40" spans="1:24" x14ac:dyDescent="0.2">
      <c r="A40" s="290" t="s">
        <v>656</v>
      </c>
      <c r="B40" s="290" t="s">
        <v>645</v>
      </c>
      <c r="C40" s="290" t="s">
        <v>326</v>
      </c>
      <c r="D40" s="290" t="s">
        <v>16</v>
      </c>
      <c r="E40" s="290" t="s">
        <v>16</v>
      </c>
      <c r="F40" s="290" t="s">
        <v>16</v>
      </c>
      <c r="G40" s="290" t="s">
        <v>16</v>
      </c>
      <c r="H40" s="290" t="s">
        <v>16</v>
      </c>
      <c r="I40" s="290" t="s">
        <v>16</v>
      </c>
      <c r="J40" s="290" t="s">
        <v>16</v>
      </c>
      <c r="K40" s="290" t="s">
        <v>16</v>
      </c>
      <c r="L40" s="290" t="s">
        <v>16</v>
      </c>
      <c r="M40" s="290">
        <v>81233</v>
      </c>
      <c r="N40" s="290">
        <v>169148</v>
      </c>
      <c r="O40" s="290">
        <v>152372</v>
      </c>
      <c r="P40" s="290" t="s">
        <v>16</v>
      </c>
      <c r="Q40" s="290" t="s">
        <v>16</v>
      </c>
      <c r="R40" s="290" t="s">
        <v>16</v>
      </c>
      <c r="S40" s="290" t="s">
        <v>16</v>
      </c>
      <c r="T40" s="290">
        <v>151260</v>
      </c>
      <c r="U40" s="290" t="s">
        <v>16</v>
      </c>
      <c r="V40" s="290" t="s">
        <v>16</v>
      </c>
      <c r="W40" s="290" t="s">
        <v>16</v>
      </c>
      <c r="X40" s="290" t="s">
        <v>16</v>
      </c>
    </row>
    <row r="41" spans="1:24" x14ac:dyDescent="0.2">
      <c r="A41" s="290" t="s">
        <v>735</v>
      </c>
      <c r="B41" s="290" t="s">
        <v>645</v>
      </c>
      <c r="C41" s="290" t="s">
        <v>309</v>
      </c>
      <c r="D41" s="290" t="s">
        <v>16</v>
      </c>
      <c r="E41" s="290" t="s">
        <v>16</v>
      </c>
      <c r="F41" s="290" t="s">
        <v>16</v>
      </c>
      <c r="G41" s="290" t="s">
        <v>16</v>
      </c>
      <c r="H41" s="290" t="s">
        <v>16</v>
      </c>
      <c r="I41" s="290" t="s">
        <v>16</v>
      </c>
      <c r="J41" s="290" t="s">
        <v>16</v>
      </c>
      <c r="K41" s="290" t="s">
        <v>16</v>
      </c>
      <c r="L41" s="290" t="s">
        <v>16</v>
      </c>
      <c r="M41" s="290" t="s">
        <v>16</v>
      </c>
      <c r="N41" s="290" t="s">
        <v>16</v>
      </c>
      <c r="O41" s="290" t="s">
        <v>16</v>
      </c>
      <c r="P41" s="290" t="s">
        <v>16</v>
      </c>
      <c r="Q41" s="290" t="s">
        <v>16</v>
      </c>
      <c r="R41" s="290">
        <v>52085</v>
      </c>
      <c r="S41" s="290" t="s">
        <v>16</v>
      </c>
      <c r="T41" s="290" t="s">
        <v>16</v>
      </c>
      <c r="U41" s="290" t="s">
        <v>16</v>
      </c>
      <c r="V41" s="290" t="s">
        <v>16</v>
      </c>
      <c r="W41" s="290" t="s">
        <v>16</v>
      </c>
      <c r="X41" s="290">
        <v>49604</v>
      </c>
    </row>
    <row r="42" spans="1:24" x14ac:dyDescent="0.2">
      <c r="A42" s="290" t="s">
        <v>653</v>
      </c>
      <c r="B42" s="290" t="s">
        <v>645</v>
      </c>
      <c r="C42" s="290" t="s">
        <v>306</v>
      </c>
      <c r="D42" s="290" t="s">
        <v>16</v>
      </c>
      <c r="E42" s="290" t="s">
        <v>16</v>
      </c>
      <c r="F42" s="290" t="s">
        <v>16</v>
      </c>
      <c r="G42" s="290" t="s">
        <v>16</v>
      </c>
      <c r="H42" s="290" t="s">
        <v>16</v>
      </c>
      <c r="I42" s="290" t="s">
        <v>16</v>
      </c>
      <c r="J42" s="290" t="s">
        <v>16</v>
      </c>
      <c r="K42" s="290" t="s">
        <v>16</v>
      </c>
      <c r="L42" s="290" t="s">
        <v>16</v>
      </c>
      <c r="M42" s="290" t="s">
        <v>16</v>
      </c>
      <c r="N42" s="290" t="s">
        <v>16</v>
      </c>
      <c r="O42" s="290" t="s">
        <v>16</v>
      </c>
      <c r="P42" s="290" t="s">
        <v>16</v>
      </c>
      <c r="Q42" s="290" t="s">
        <v>16</v>
      </c>
      <c r="R42" s="290">
        <v>1022</v>
      </c>
      <c r="S42" s="290" t="s">
        <v>16</v>
      </c>
      <c r="T42" s="290" t="s">
        <v>16</v>
      </c>
      <c r="U42" s="290">
        <v>123689</v>
      </c>
      <c r="V42" s="290">
        <v>115743</v>
      </c>
      <c r="W42" s="290" t="s">
        <v>16</v>
      </c>
      <c r="X42" s="290" t="s">
        <v>16</v>
      </c>
    </row>
    <row r="43" spans="1:24" x14ac:dyDescent="0.2">
      <c r="A43" s="290" t="s">
        <v>652</v>
      </c>
      <c r="B43" s="290" t="s">
        <v>645</v>
      </c>
      <c r="C43" s="290" t="s">
        <v>330</v>
      </c>
      <c r="D43" s="290" t="s">
        <v>16</v>
      </c>
      <c r="E43" s="290" t="s">
        <v>16</v>
      </c>
      <c r="F43" s="290" t="s">
        <v>16</v>
      </c>
      <c r="G43" s="290" t="s">
        <v>16</v>
      </c>
      <c r="H43" s="290" t="s">
        <v>16</v>
      </c>
      <c r="I43" s="290" t="s">
        <v>16</v>
      </c>
      <c r="J43" s="290" t="s">
        <v>16</v>
      </c>
      <c r="K43" s="290">
        <v>36859</v>
      </c>
      <c r="L43" s="290" t="s">
        <v>16</v>
      </c>
      <c r="M43" s="290" t="s">
        <v>16</v>
      </c>
      <c r="N43" s="290" t="s">
        <v>16</v>
      </c>
      <c r="O43" s="290" t="s">
        <v>16</v>
      </c>
      <c r="P43" s="290" t="s">
        <v>16</v>
      </c>
      <c r="Q43" s="290" t="s">
        <v>16</v>
      </c>
      <c r="R43" s="290" t="s">
        <v>16</v>
      </c>
      <c r="S43" s="290" t="s">
        <v>16</v>
      </c>
      <c r="T43" s="290" t="s">
        <v>16</v>
      </c>
      <c r="U43" s="290">
        <v>42473</v>
      </c>
      <c r="V43" s="290">
        <v>130263</v>
      </c>
      <c r="W43" s="290" t="s">
        <v>16</v>
      </c>
      <c r="X43" s="290" t="s">
        <v>16</v>
      </c>
    </row>
    <row r="44" spans="1:24" x14ac:dyDescent="0.2">
      <c r="A44" s="290" t="s">
        <v>649</v>
      </c>
      <c r="B44" s="290" t="s">
        <v>645</v>
      </c>
      <c r="C44" s="290" t="s">
        <v>323</v>
      </c>
      <c r="D44" s="290" t="s">
        <v>16</v>
      </c>
      <c r="E44" s="290" t="s">
        <v>16</v>
      </c>
      <c r="F44" s="290" t="s">
        <v>16</v>
      </c>
      <c r="G44" s="290" t="s">
        <v>16</v>
      </c>
      <c r="H44" s="290" t="s">
        <v>16</v>
      </c>
      <c r="I44" s="290" t="s">
        <v>16</v>
      </c>
      <c r="J44" s="290" t="s">
        <v>16</v>
      </c>
      <c r="K44" s="290" t="s">
        <v>16</v>
      </c>
      <c r="L44" s="290" t="s">
        <v>16</v>
      </c>
      <c r="M44" s="290">
        <v>151817</v>
      </c>
      <c r="N44" s="290">
        <v>413558</v>
      </c>
      <c r="O44" s="290">
        <v>587923</v>
      </c>
      <c r="P44" s="290">
        <v>1091118</v>
      </c>
      <c r="Q44" s="290">
        <v>805609</v>
      </c>
      <c r="R44" s="290">
        <v>266767</v>
      </c>
      <c r="S44" s="290" t="s">
        <v>16</v>
      </c>
      <c r="T44" s="290" t="s">
        <v>16</v>
      </c>
      <c r="U44" s="290">
        <v>35221</v>
      </c>
      <c r="V44" s="290" t="s">
        <v>16</v>
      </c>
      <c r="W44" s="290">
        <v>107115</v>
      </c>
      <c r="X44" s="290">
        <v>68739</v>
      </c>
    </row>
  </sheetData>
  <sortState xmlns:xlrd2="http://schemas.microsoft.com/office/spreadsheetml/2017/richdata2" ref="A13:X44">
    <sortCondition ref="B13:B44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BB078-DC69-45A3-8F28-3C1086BD0925}">
  <sheetPr>
    <tabColor rgb="FF92D050"/>
  </sheetPr>
  <dimension ref="A1:X74"/>
  <sheetViews>
    <sheetView workbookViewId="0">
      <selection activeCell="R18" sqref="R18"/>
    </sheetView>
  </sheetViews>
  <sheetFormatPr baseColWidth="10" defaultColWidth="9" defaultRowHeight="14" x14ac:dyDescent="0.2"/>
  <cols>
    <col min="1" max="16384" width="9" style="290"/>
  </cols>
  <sheetData>
    <row r="1" spans="1:24" x14ac:dyDescent="0.2">
      <c r="A1" s="290" t="s">
        <v>155</v>
      </c>
    </row>
    <row r="2" spans="1:24" x14ac:dyDescent="0.2">
      <c r="A2" s="290" t="s">
        <v>713</v>
      </c>
    </row>
    <row r="3" spans="1:24" x14ac:dyDescent="0.2">
      <c r="A3" s="290" t="s">
        <v>712</v>
      </c>
    </row>
    <row r="4" spans="1:24" x14ac:dyDescent="0.2">
      <c r="A4" s="290" t="s">
        <v>3</v>
      </c>
    </row>
    <row r="5" spans="1:24" x14ac:dyDescent="0.2">
      <c r="A5" s="290" t="s">
        <v>4</v>
      </c>
      <c r="C5" s="290" t="s">
        <v>6</v>
      </c>
      <c r="D5" s="290">
        <v>2001</v>
      </c>
      <c r="E5" s="290">
        <v>2002</v>
      </c>
      <c r="F5" s="290">
        <v>2003</v>
      </c>
      <c r="G5" s="290">
        <v>2004</v>
      </c>
      <c r="H5" s="290">
        <v>2005</v>
      </c>
      <c r="I5" s="290">
        <v>2006</v>
      </c>
      <c r="J5" s="290">
        <v>2007</v>
      </c>
      <c r="K5" s="290">
        <v>2008</v>
      </c>
      <c r="L5" s="290">
        <v>2009</v>
      </c>
      <c r="M5" s="290">
        <v>2010</v>
      </c>
      <c r="N5" s="290">
        <v>2011</v>
      </c>
      <c r="O5" s="290">
        <v>2012</v>
      </c>
      <c r="P5" s="290">
        <v>2013</v>
      </c>
      <c r="Q5" s="290">
        <v>2014</v>
      </c>
      <c r="R5" s="290">
        <v>2015</v>
      </c>
      <c r="S5" s="290">
        <v>2016</v>
      </c>
      <c r="T5" s="290">
        <v>2017</v>
      </c>
      <c r="U5" s="290">
        <v>2018</v>
      </c>
      <c r="V5" s="290">
        <v>2019</v>
      </c>
      <c r="W5" s="290">
        <v>2020</v>
      </c>
      <c r="X5" s="290">
        <v>2021</v>
      </c>
    </row>
    <row r="6" spans="1:24" x14ac:dyDescent="0.2">
      <c r="A6" s="290" t="s">
        <v>155</v>
      </c>
    </row>
    <row r="7" spans="1:24" x14ac:dyDescent="0.2">
      <c r="A7" s="290" t="s">
        <v>8</v>
      </c>
      <c r="C7" s="290" t="s">
        <v>9</v>
      </c>
    </row>
    <row r="8" spans="1:24" x14ac:dyDescent="0.2">
      <c r="A8" s="290" t="s">
        <v>714</v>
      </c>
      <c r="B8" s="290" t="s">
        <v>715</v>
      </c>
      <c r="C8" s="290" t="s">
        <v>158</v>
      </c>
      <c r="D8" s="290">
        <v>1260370</v>
      </c>
      <c r="E8" s="290">
        <v>753999</v>
      </c>
      <c r="F8" s="290">
        <v>1183015</v>
      </c>
      <c r="G8" s="290">
        <v>3049529</v>
      </c>
      <c r="H8" s="290">
        <v>1876176</v>
      </c>
      <c r="I8" s="290">
        <v>2218849</v>
      </c>
      <c r="J8" s="290">
        <v>3916968</v>
      </c>
      <c r="K8" s="290">
        <v>8771678</v>
      </c>
      <c r="L8" s="290">
        <v>4820360</v>
      </c>
      <c r="M8" s="290">
        <v>9355362</v>
      </c>
      <c r="N8" s="290">
        <v>21374975</v>
      </c>
      <c r="O8" s="290">
        <v>28064254</v>
      </c>
      <c r="P8" s="290">
        <v>19787721</v>
      </c>
      <c r="Q8" s="290">
        <v>10405214</v>
      </c>
      <c r="R8" s="290">
        <v>8886202</v>
      </c>
      <c r="S8" s="290">
        <v>5966782</v>
      </c>
      <c r="T8" s="290">
        <v>12532649</v>
      </c>
      <c r="U8" s="290">
        <v>20011409</v>
      </c>
      <c r="V8" s="290">
        <v>11313814</v>
      </c>
      <c r="W8" s="290">
        <v>4315782</v>
      </c>
      <c r="X8" s="290">
        <v>10923026</v>
      </c>
    </row>
    <row r="9" spans="1:24" x14ac:dyDescent="0.2">
      <c r="A9" s="290" t="s">
        <v>714</v>
      </c>
      <c r="B9" s="290" t="s">
        <v>645</v>
      </c>
      <c r="C9" s="290" t="s">
        <v>159</v>
      </c>
      <c r="D9" s="290">
        <v>1002502</v>
      </c>
      <c r="E9" s="290">
        <v>634035</v>
      </c>
      <c r="F9" s="290">
        <v>619524</v>
      </c>
      <c r="G9" s="290">
        <v>1720635</v>
      </c>
      <c r="H9" s="290">
        <v>584362</v>
      </c>
      <c r="I9" s="290">
        <v>1419085</v>
      </c>
      <c r="J9" s="290">
        <v>3414551</v>
      </c>
      <c r="K9" s="290">
        <v>6794241</v>
      </c>
      <c r="L9" s="290">
        <v>3257966</v>
      </c>
      <c r="M9" s="290">
        <v>6692541</v>
      </c>
      <c r="N9" s="290">
        <v>14877667</v>
      </c>
      <c r="O9" s="290">
        <v>21842550</v>
      </c>
      <c r="P9" s="290">
        <v>15273919</v>
      </c>
      <c r="Q9" s="290">
        <v>8962211</v>
      </c>
      <c r="R9" s="290">
        <v>7885638</v>
      </c>
      <c r="S9" s="290">
        <v>5250141</v>
      </c>
      <c r="T9" s="290">
        <v>12281437</v>
      </c>
      <c r="U9" s="290">
        <v>19599476</v>
      </c>
      <c r="V9" s="290">
        <v>10930648</v>
      </c>
      <c r="W9" s="290">
        <v>4195551</v>
      </c>
      <c r="X9" s="290">
        <v>10731308</v>
      </c>
    </row>
    <row r="10" spans="1:24" x14ac:dyDescent="0.2">
      <c r="A10" s="290" t="s">
        <v>714</v>
      </c>
      <c r="B10" s="290" t="s">
        <v>716</v>
      </c>
      <c r="C10" s="290" t="s">
        <v>160</v>
      </c>
      <c r="D10" s="290">
        <v>257868</v>
      </c>
      <c r="E10" s="290">
        <v>119964</v>
      </c>
      <c r="F10" s="290">
        <v>563491</v>
      </c>
      <c r="G10" s="290">
        <v>1328894</v>
      </c>
      <c r="H10" s="290">
        <v>1291814</v>
      </c>
      <c r="I10" s="290">
        <v>799764</v>
      </c>
      <c r="J10" s="290">
        <v>502417</v>
      </c>
      <c r="K10" s="290">
        <v>1977437</v>
      </c>
      <c r="L10" s="290">
        <v>1562394</v>
      </c>
      <c r="M10" s="290">
        <v>2662821</v>
      </c>
      <c r="N10" s="290">
        <v>6497308</v>
      </c>
      <c r="O10" s="290">
        <v>6221704</v>
      </c>
      <c r="P10" s="290">
        <v>4513802</v>
      </c>
      <c r="Q10" s="290">
        <v>1443003</v>
      </c>
      <c r="R10" s="290">
        <v>1000564</v>
      </c>
      <c r="S10" s="290">
        <v>716641</v>
      </c>
      <c r="T10" s="290">
        <v>251212</v>
      </c>
      <c r="U10" s="290">
        <v>411933</v>
      </c>
      <c r="V10" s="290">
        <v>383166</v>
      </c>
      <c r="W10" s="290">
        <v>120231</v>
      </c>
      <c r="X10" s="290">
        <v>191718</v>
      </c>
    </row>
    <row r="11" spans="1:24" x14ac:dyDescent="0.2">
      <c r="A11" s="290" t="s">
        <v>714</v>
      </c>
      <c r="B11" s="290" t="s">
        <v>717</v>
      </c>
      <c r="C11" s="290" t="s">
        <v>161</v>
      </c>
      <c r="D11" s="290">
        <v>49428</v>
      </c>
      <c r="E11" s="290">
        <v>68</v>
      </c>
      <c r="F11" s="290">
        <v>158628</v>
      </c>
      <c r="G11" s="290">
        <v>443354</v>
      </c>
      <c r="H11" s="290">
        <v>540957</v>
      </c>
      <c r="I11" s="290">
        <v>199392</v>
      </c>
      <c r="J11" s="290">
        <v>201952</v>
      </c>
      <c r="K11" s="290">
        <v>326684</v>
      </c>
      <c r="L11" s="290">
        <v>122336</v>
      </c>
      <c r="M11" s="290">
        <v>307774</v>
      </c>
      <c r="N11" s="290">
        <v>186669</v>
      </c>
      <c r="O11" s="290">
        <v>125337</v>
      </c>
      <c r="P11" s="290">
        <v>151436</v>
      </c>
      <c r="Q11" s="290">
        <v>69215</v>
      </c>
      <c r="R11" s="290">
        <v>63156</v>
      </c>
      <c r="S11" s="290">
        <v>417</v>
      </c>
      <c r="T11" s="290">
        <v>68312</v>
      </c>
      <c r="U11" s="290">
        <v>144250</v>
      </c>
      <c r="V11" s="290">
        <v>36313</v>
      </c>
      <c r="W11" s="290">
        <v>30565</v>
      </c>
      <c r="X11" s="290">
        <v>698277</v>
      </c>
    </row>
    <row r="13" spans="1:24" x14ac:dyDescent="0.2">
      <c r="A13" s="290" t="s">
        <v>702</v>
      </c>
      <c r="B13" s="290" t="s">
        <v>645</v>
      </c>
      <c r="C13" s="290" t="s">
        <v>193</v>
      </c>
      <c r="D13" s="290" t="s">
        <v>16</v>
      </c>
      <c r="E13" s="290" t="s">
        <v>16</v>
      </c>
      <c r="F13" s="290" t="s">
        <v>16</v>
      </c>
      <c r="G13" s="290" t="s">
        <v>16</v>
      </c>
      <c r="H13" s="290" t="s">
        <v>16</v>
      </c>
      <c r="I13" s="290" t="s">
        <v>16</v>
      </c>
      <c r="J13" s="290" t="s">
        <v>16</v>
      </c>
      <c r="K13" s="290" t="s">
        <v>16</v>
      </c>
      <c r="L13" s="290" t="s">
        <v>16</v>
      </c>
      <c r="M13" s="290">
        <v>97098</v>
      </c>
      <c r="N13" s="290">
        <v>715293</v>
      </c>
      <c r="O13" s="290">
        <v>294160</v>
      </c>
      <c r="P13" s="290">
        <v>323956</v>
      </c>
      <c r="Q13" s="290" t="s">
        <v>16</v>
      </c>
      <c r="R13" s="290" t="s">
        <v>16</v>
      </c>
      <c r="S13" s="290">
        <v>117406</v>
      </c>
      <c r="T13" s="290" t="s">
        <v>16</v>
      </c>
      <c r="U13" s="290" t="s">
        <v>16</v>
      </c>
      <c r="V13" s="290">
        <v>76746</v>
      </c>
      <c r="W13" s="290" t="s">
        <v>16</v>
      </c>
      <c r="X13" s="290" t="s">
        <v>16</v>
      </c>
    </row>
    <row r="14" spans="1:24" x14ac:dyDescent="0.2">
      <c r="A14" s="290" t="s">
        <v>719</v>
      </c>
      <c r="B14" s="290" t="s">
        <v>645</v>
      </c>
      <c r="C14" s="290" t="s">
        <v>195</v>
      </c>
      <c r="D14" s="290" t="s">
        <v>16</v>
      </c>
      <c r="E14" s="290" t="s">
        <v>16</v>
      </c>
      <c r="F14" s="290" t="s">
        <v>16</v>
      </c>
      <c r="G14" s="290" t="s">
        <v>16</v>
      </c>
      <c r="H14" s="290" t="s">
        <v>16</v>
      </c>
      <c r="I14" s="290" t="s">
        <v>16</v>
      </c>
      <c r="J14" s="290" t="s">
        <v>16</v>
      </c>
      <c r="K14" s="290" t="s">
        <v>16</v>
      </c>
      <c r="L14" s="290" t="s">
        <v>16</v>
      </c>
      <c r="M14" s="290" t="s">
        <v>16</v>
      </c>
      <c r="N14" s="290" t="s">
        <v>16</v>
      </c>
      <c r="O14" s="290" t="s">
        <v>16</v>
      </c>
      <c r="P14" s="290" t="s">
        <v>16</v>
      </c>
      <c r="Q14" s="290" t="s">
        <v>16</v>
      </c>
      <c r="R14" s="290" t="s">
        <v>16</v>
      </c>
      <c r="S14" s="290" t="s">
        <v>16</v>
      </c>
      <c r="T14" s="290" t="s">
        <v>16</v>
      </c>
      <c r="U14" s="290" t="s">
        <v>16</v>
      </c>
      <c r="V14" s="290">
        <v>20393</v>
      </c>
      <c r="W14" s="290" t="s">
        <v>16</v>
      </c>
      <c r="X14" s="290" t="s">
        <v>16</v>
      </c>
    </row>
    <row r="15" spans="1:24" x14ac:dyDescent="0.2">
      <c r="A15" s="290" t="s">
        <v>701</v>
      </c>
      <c r="B15" s="290" t="s">
        <v>645</v>
      </c>
      <c r="C15" s="290" t="s">
        <v>196</v>
      </c>
      <c r="D15" s="290">
        <v>18876</v>
      </c>
      <c r="E15" s="290">
        <v>18376</v>
      </c>
      <c r="F15" s="290">
        <v>2589</v>
      </c>
      <c r="G15" s="290">
        <v>92581</v>
      </c>
      <c r="H15" s="290" t="s">
        <v>16</v>
      </c>
      <c r="I15" s="290" t="s">
        <v>16</v>
      </c>
      <c r="J15" s="290" t="s">
        <v>16</v>
      </c>
      <c r="K15" s="290" t="s">
        <v>16</v>
      </c>
      <c r="L15" s="290">
        <v>5179</v>
      </c>
      <c r="M15" s="290">
        <v>51219</v>
      </c>
      <c r="N15" s="290">
        <v>265916</v>
      </c>
      <c r="O15" s="290" t="s">
        <v>16</v>
      </c>
      <c r="P15" s="290">
        <v>53981</v>
      </c>
      <c r="Q15" s="290">
        <v>58442</v>
      </c>
      <c r="R15" s="290" t="s">
        <v>16</v>
      </c>
      <c r="S15" s="290" t="s">
        <v>16</v>
      </c>
      <c r="T15" s="290" t="s">
        <v>16</v>
      </c>
      <c r="U15" s="290" t="s">
        <v>16</v>
      </c>
      <c r="V15" s="290" t="s">
        <v>16</v>
      </c>
      <c r="W15" s="290" t="s">
        <v>16</v>
      </c>
      <c r="X15" s="290">
        <v>26455</v>
      </c>
    </row>
    <row r="16" spans="1:24" x14ac:dyDescent="0.2">
      <c r="A16" s="290" t="s">
        <v>699</v>
      </c>
      <c r="B16" s="290" t="s">
        <v>645</v>
      </c>
      <c r="C16" s="290" t="s">
        <v>197</v>
      </c>
      <c r="D16" s="290" t="s">
        <v>16</v>
      </c>
      <c r="E16" s="290" t="s">
        <v>16</v>
      </c>
      <c r="F16" s="290" t="s">
        <v>16</v>
      </c>
      <c r="G16" s="290" t="s">
        <v>16</v>
      </c>
      <c r="H16" s="290" t="s">
        <v>16</v>
      </c>
      <c r="I16" s="290" t="s">
        <v>16</v>
      </c>
      <c r="J16" s="290" t="s">
        <v>16</v>
      </c>
      <c r="K16" s="290" t="s">
        <v>16</v>
      </c>
      <c r="L16" s="290" t="s">
        <v>16</v>
      </c>
      <c r="M16" s="290" t="s">
        <v>16</v>
      </c>
      <c r="N16" s="290" t="s">
        <v>16</v>
      </c>
      <c r="O16" s="290" t="s">
        <v>16</v>
      </c>
      <c r="P16" s="290" t="s">
        <v>16</v>
      </c>
      <c r="Q16" s="290" t="s">
        <v>16</v>
      </c>
      <c r="R16" s="290">
        <v>34215</v>
      </c>
      <c r="S16" s="290" t="s">
        <v>16</v>
      </c>
      <c r="T16" s="290">
        <v>24</v>
      </c>
      <c r="U16" s="290" t="s">
        <v>16</v>
      </c>
      <c r="V16" s="290" t="s">
        <v>16</v>
      </c>
      <c r="W16" s="290" t="s">
        <v>16</v>
      </c>
      <c r="X16" s="290" t="s">
        <v>16</v>
      </c>
    </row>
    <row r="17" spans="1:24" x14ac:dyDescent="0.2">
      <c r="A17" s="290" t="s">
        <v>698</v>
      </c>
      <c r="B17" s="290" t="s">
        <v>645</v>
      </c>
      <c r="C17" s="290" t="s">
        <v>175</v>
      </c>
      <c r="D17" s="290" t="s">
        <v>16</v>
      </c>
      <c r="E17" s="290" t="s">
        <v>16</v>
      </c>
      <c r="F17" s="290" t="s">
        <v>16</v>
      </c>
      <c r="G17" s="290" t="s">
        <v>16</v>
      </c>
      <c r="H17" s="290">
        <v>28702</v>
      </c>
      <c r="I17" s="290" t="s">
        <v>16</v>
      </c>
      <c r="J17" s="290">
        <v>158992</v>
      </c>
      <c r="K17" s="290">
        <v>444972</v>
      </c>
      <c r="L17" s="290" t="s">
        <v>16</v>
      </c>
      <c r="M17" s="290" t="s">
        <v>16</v>
      </c>
      <c r="N17" s="290">
        <v>420920</v>
      </c>
      <c r="O17" s="290">
        <v>548999</v>
      </c>
      <c r="P17" s="290">
        <v>576909</v>
      </c>
      <c r="Q17" s="290">
        <v>213621</v>
      </c>
      <c r="R17" s="290">
        <v>283549</v>
      </c>
      <c r="S17" s="290" t="s">
        <v>16</v>
      </c>
      <c r="T17" s="290" t="s">
        <v>16</v>
      </c>
      <c r="U17" s="290">
        <v>157846</v>
      </c>
      <c r="V17" s="290">
        <v>113983</v>
      </c>
      <c r="W17" s="290">
        <v>121254</v>
      </c>
      <c r="X17" s="290">
        <v>159626</v>
      </c>
    </row>
    <row r="18" spans="1:24" x14ac:dyDescent="0.2">
      <c r="A18" s="290" t="s">
        <v>697</v>
      </c>
      <c r="B18" s="290" t="s">
        <v>645</v>
      </c>
      <c r="C18" s="290" t="s">
        <v>198</v>
      </c>
      <c r="D18" s="290" t="s">
        <v>16</v>
      </c>
      <c r="E18" s="290" t="s">
        <v>16</v>
      </c>
      <c r="F18" s="290" t="s">
        <v>16</v>
      </c>
      <c r="G18" s="290" t="s">
        <v>16</v>
      </c>
      <c r="H18" s="290" t="s">
        <v>16</v>
      </c>
      <c r="I18" s="290" t="s">
        <v>16</v>
      </c>
      <c r="J18" s="290" t="s">
        <v>16</v>
      </c>
      <c r="K18" s="290">
        <v>154693</v>
      </c>
      <c r="L18" s="290" t="s">
        <v>16</v>
      </c>
      <c r="M18" s="290">
        <v>305767</v>
      </c>
      <c r="N18" s="290" t="s">
        <v>16</v>
      </c>
      <c r="O18" s="290">
        <v>1465337</v>
      </c>
      <c r="P18" s="290">
        <v>612435</v>
      </c>
      <c r="Q18" s="290" t="s">
        <v>16</v>
      </c>
      <c r="R18" s="290" t="s">
        <v>16</v>
      </c>
      <c r="S18" s="290" t="s">
        <v>16</v>
      </c>
      <c r="T18" s="290" t="s">
        <v>16</v>
      </c>
      <c r="U18" s="290" t="s">
        <v>16</v>
      </c>
      <c r="V18" s="290" t="s">
        <v>16</v>
      </c>
      <c r="W18" s="290" t="s">
        <v>16</v>
      </c>
      <c r="X18" s="290">
        <v>89654</v>
      </c>
    </row>
    <row r="19" spans="1:24" x14ac:dyDescent="0.2">
      <c r="A19" s="290" t="s">
        <v>695</v>
      </c>
      <c r="B19" s="290" t="s">
        <v>645</v>
      </c>
      <c r="C19" s="290" t="s">
        <v>199</v>
      </c>
      <c r="D19" s="290" t="s">
        <v>16</v>
      </c>
      <c r="E19" s="290" t="s">
        <v>16</v>
      </c>
      <c r="F19" s="290" t="s">
        <v>16</v>
      </c>
      <c r="G19" s="290" t="s">
        <v>16</v>
      </c>
      <c r="H19" s="290" t="s">
        <v>16</v>
      </c>
      <c r="I19" s="290" t="s">
        <v>16</v>
      </c>
      <c r="J19" s="290">
        <v>926</v>
      </c>
      <c r="K19" s="290" t="s">
        <v>16</v>
      </c>
      <c r="L19" s="290" t="s">
        <v>16</v>
      </c>
      <c r="M19" s="290" t="s">
        <v>16</v>
      </c>
      <c r="N19" s="290" t="s">
        <v>16</v>
      </c>
      <c r="O19" s="290" t="s">
        <v>16</v>
      </c>
      <c r="P19" s="290" t="s">
        <v>16</v>
      </c>
      <c r="Q19" s="290">
        <v>8488</v>
      </c>
      <c r="R19" s="290" t="s">
        <v>16</v>
      </c>
      <c r="S19" s="290" t="s">
        <v>16</v>
      </c>
      <c r="T19" s="290">
        <v>571</v>
      </c>
      <c r="U19" s="290" t="s">
        <v>16</v>
      </c>
      <c r="V19" s="290" t="s">
        <v>16</v>
      </c>
      <c r="W19" s="290">
        <v>22046</v>
      </c>
      <c r="X19" s="290" t="s">
        <v>16</v>
      </c>
    </row>
    <row r="20" spans="1:24" x14ac:dyDescent="0.2">
      <c r="A20" s="290" t="s">
        <v>694</v>
      </c>
      <c r="B20" s="290" t="s">
        <v>645</v>
      </c>
      <c r="C20" s="290" t="s">
        <v>190</v>
      </c>
      <c r="D20" s="290" t="s">
        <v>16</v>
      </c>
      <c r="E20" s="290" t="s">
        <v>16</v>
      </c>
      <c r="F20" s="290" t="s">
        <v>16</v>
      </c>
      <c r="G20" s="290" t="s">
        <v>16</v>
      </c>
      <c r="H20" s="290" t="s">
        <v>16</v>
      </c>
      <c r="I20" s="290" t="s">
        <v>16</v>
      </c>
      <c r="J20" s="290">
        <v>74762</v>
      </c>
      <c r="K20" s="290" t="s">
        <v>16</v>
      </c>
      <c r="L20" s="290" t="s">
        <v>16</v>
      </c>
      <c r="M20" s="290" t="s">
        <v>16</v>
      </c>
      <c r="N20" s="290">
        <v>448276</v>
      </c>
      <c r="O20" s="290">
        <v>440605</v>
      </c>
      <c r="P20" s="290">
        <v>76866</v>
      </c>
      <c r="Q20" s="290" t="s">
        <v>16</v>
      </c>
      <c r="R20" s="290" t="s">
        <v>16</v>
      </c>
      <c r="S20" s="290" t="s">
        <v>16</v>
      </c>
      <c r="T20" s="290" t="s">
        <v>16</v>
      </c>
      <c r="U20" s="290">
        <v>78264</v>
      </c>
      <c r="V20" s="290" t="s">
        <v>16</v>
      </c>
      <c r="W20" s="290" t="s">
        <v>16</v>
      </c>
      <c r="X20" s="290" t="s">
        <v>16</v>
      </c>
    </row>
    <row r="21" spans="1:24" x14ac:dyDescent="0.2">
      <c r="A21" s="290" t="s">
        <v>693</v>
      </c>
      <c r="B21" s="290" t="s">
        <v>645</v>
      </c>
      <c r="C21" s="290" t="s">
        <v>200</v>
      </c>
      <c r="D21" s="290" t="s">
        <v>16</v>
      </c>
      <c r="E21" s="290" t="s">
        <v>16</v>
      </c>
      <c r="F21" s="290">
        <v>209988</v>
      </c>
      <c r="G21" s="290">
        <v>73821</v>
      </c>
      <c r="H21" s="290">
        <v>73298</v>
      </c>
      <c r="I21" s="290" t="s">
        <v>16</v>
      </c>
      <c r="J21" s="290" t="s">
        <v>16</v>
      </c>
      <c r="K21" s="290" t="s">
        <v>16</v>
      </c>
      <c r="L21" s="290">
        <v>239796</v>
      </c>
      <c r="M21" s="290">
        <v>80181</v>
      </c>
      <c r="N21" s="290">
        <v>84689</v>
      </c>
      <c r="O21" s="290" t="s">
        <v>16</v>
      </c>
      <c r="P21" s="290" t="s">
        <v>16</v>
      </c>
      <c r="Q21" s="290" t="s">
        <v>16</v>
      </c>
      <c r="R21" s="290">
        <v>44644</v>
      </c>
      <c r="S21" s="290">
        <v>60598</v>
      </c>
      <c r="T21" s="290">
        <v>80746</v>
      </c>
      <c r="U21" s="290" t="s">
        <v>16</v>
      </c>
      <c r="V21" s="290" t="s">
        <v>16</v>
      </c>
      <c r="W21" s="290" t="s">
        <v>16</v>
      </c>
      <c r="X21" s="290">
        <v>33494</v>
      </c>
    </row>
    <row r="22" spans="1:24" x14ac:dyDescent="0.2">
      <c r="A22" s="290" t="s">
        <v>692</v>
      </c>
      <c r="B22" s="290" t="s">
        <v>645</v>
      </c>
      <c r="C22" s="290" t="s">
        <v>170</v>
      </c>
      <c r="D22" s="290" t="s">
        <v>16</v>
      </c>
      <c r="E22" s="290" t="s">
        <v>16</v>
      </c>
      <c r="F22" s="290" t="s">
        <v>16</v>
      </c>
      <c r="G22" s="290" t="s">
        <v>16</v>
      </c>
      <c r="H22" s="290" t="s">
        <v>16</v>
      </c>
      <c r="I22" s="290" t="s">
        <v>16</v>
      </c>
      <c r="J22" s="290" t="s">
        <v>16</v>
      </c>
      <c r="K22" s="290" t="s">
        <v>16</v>
      </c>
      <c r="L22" s="290" t="s">
        <v>16</v>
      </c>
      <c r="M22" s="290" t="s">
        <v>16</v>
      </c>
      <c r="N22" s="290" t="s">
        <v>16</v>
      </c>
      <c r="O22" s="290" t="s">
        <v>16</v>
      </c>
      <c r="P22" s="290" t="s">
        <v>16</v>
      </c>
      <c r="Q22" s="290" t="s">
        <v>16</v>
      </c>
      <c r="R22" s="290" t="s">
        <v>16</v>
      </c>
      <c r="S22" s="290" t="s">
        <v>16</v>
      </c>
      <c r="T22" s="290" t="s">
        <v>16</v>
      </c>
      <c r="U22" s="290">
        <v>50486</v>
      </c>
      <c r="V22" s="290" t="s">
        <v>16</v>
      </c>
      <c r="W22" s="290" t="s">
        <v>16</v>
      </c>
      <c r="X22" s="290" t="s">
        <v>16</v>
      </c>
    </row>
    <row r="23" spans="1:24" x14ac:dyDescent="0.2">
      <c r="A23" s="290" t="s">
        <v>691</v>
      </c>
      <c r="B23" s="290" t="s">
        <v>645</v>
      </c>
      <c r="C23" s="290" t="s">
        <v>177</v>
      </c>
      <c r="D23" s="290" t="s">
        <v>16</v>
      </c>
      <c r="E23" s="290" t="s">
        <v>16</v>
      </c>
      <c r="F23" s="290" t="s">
        <v>16</v>
      </c>
      <c r="G23" s="290" t="s">
        <v>16</v>
      </c>
      <c r="H23" s="290" t="s">
        <v>16</v>
      </c>
      <c r="I23" s="290" t="s">
        <v>16</v>
      </c>
      <c r="J23" s="290" t="s">
        <v>16</v>
      </c>
      <c r="K23" s="290" t="s">
        <v>16</v>
      </c>
      <c r="L23" s="290" t="s">
        <v>16</v>
      </c>
      <c r="M23" s="290" t="s">
        <v>16</v>
      </c>
      <c r="N23" s="290">
        <v>32047</v>
      </c>
      <c r="O23" s="290">
        <v>337705</v>
      </c>
      <c r="P23" s="290">
        <v>32828</v>
      </c>
      <c r="Q23" s="290">
        <v>109128</v>
      </c>
      <c r="R23" s="290">
        <v>107504</v>
      </c>
      <c r="S23" s="290">
        <v>44092</v>
      </c>
      <c r="T23" s="290">
        <v>108254</v>
      </c>
      <c r="U23" s="290">
        <v>209095</v>
      </c>
      <c r="V23" s="290">
        <v>239233</v>
      </c>
      <c r="W23" s="290">
        <v>89728</v>
      </c>
      <c r="X23" s="290">
        <v>164116</v>
      </c>
    </row>
    <row r="24" spans="1:24" x14ac:dyDescent="0.2">
      <c r="A24" s="290" t="s">
        <v>690</v>
      </c>
      <c r="B24" s="290" t="s">
        <v>645</v>
      </c>
      <c r="C24" s="290" t="s">
        <v>168</v>
      </c>
      <c r="D24" s="290" t="s">
        <v>16</v>
      </c>
      <c r="E24" s="290" t="s">
        <v>16</v>
      </c>
      <c r="F24" s="290" t="s">
        <v>16</v>
      </c>
      <c r="G24" s="290" t="s">
        <v>16</v>
      </c>
      <c r="H24" s="290" t="s">
        <v>16</v>
      </c>
      <c r="I24" s="290" t="s">
        <v>16</v>
      </c>
      <c r="J24" s="290" t="s">
        <v>16</v>
      </c>
      <c r="K24" s="290" t="s">
        <v>16</v>
      </c>
      <c r="L24" s="290" t="s">
        <v>16</v>
      </c>
      <c r="M24" s="290" t="s">
        <v>16</v>
      </c>
      <c r="N24" s="290" t="s">
        <v>16</v>
      </c>
      <c r="O24" s="290" t="s">
        <v>16</v>
      </c>
      <c r="P24" s="290" t="s">
        <v>16</v>
      </c>
      <c r="Q24" s="290" t="s">
        <v>16</v>
      </c>
      <c r="R24" s="290" t="s">
        <v>16</v>
      </c>
      <c r="S24" s="290" t="s">
        <v>16</v>
      </c>
      <c r="T24" s="290" t="s">
        <v>16</v>
      </c>
      <c r="U24" s="290">
        <v>37486</v>
      </c>
      <c r="V24" s="290" t="s">
        <v>16</v>
      </c>
      <c r="W24" s="290" t="s">
        <v>16</v>
      </c>
      <c r="X24" s="290">
        <v>69445</v>
      </c>
    </row>
    <row r="25" spans="1:24" x14ac:dyDescent="0.2">
      <c r="A25" s="290" t="s">
        <v>689</v>
      </c>
      <c r="B25" s="290" t="s">
        <v>645</v>
      </c>
      <c r="C25" s="290" t="s">
        <v>163</v>
      </c>
      <c r="D25" s="290" t="s">
        <v>16</v>
      </c>
      <c r="E25" s="290" t="s">
        <v>16</v>
      </c>
      <c r="F25" s="290" t="s">
        <v>16</v>
      </c>
      <c r="G25" s="290" t="s">
        <v>16</v>
      </c>
      <c r="H25" s="290" t="s">
        <v>16</v>
      </c>
      <c r="I25" s="290" t="s">
        <v>16</v>
      </c>
      <c r="J25" s="290" t="s">
        <v>16</v>
      </c>
      <c r="K25" s="290" t="s">
        <v>16</v>
      </c>
      <c r="L25" s="290" t="s">
        <v>16</v>
      </c>
      <c r="M25" s="290">
        <v>161362</v>
      </c>
      <c r="N25" s="290">
        <v>158794</v>
      </c>
      <c r="O25" s="290" t="s">
        <v>16</v>
      </c>
      <c r="P25" s="290" t="s">
        <v>16</v>
      </c>
      <c r="Q25" s="290" t="s">
        <v>16</v>
      </c>
      <c r="R25" s="290" t="s">
        <v>16</v>
      </c>
      <c r="S25" s="290" t="s">
        <v>16</v>
      </c>
      <c r="T25" s="290">
        <v>826349</v>
      </c>
      <c r="U25" s="290">
        <v>2258372</v>
      </c>
      <c r="V25" s="290">
        <v>2954486</v>
      </c>
      <c r="W25" s="290">
        <v>883324</v>
      </c>
      <c r="X25" s="290">
        <v>2063282</v>
      </c>
    </row>
    <row r="26" spans="1:24" x14ac:dyDescent="0.2">
      <c r="A26" s="290" t="s">
        <v>720</v>
      </c>
      <c r="B26" s="290" t="s">
        <v>645</v>
      </c>
      <c r="C26" s="290" t="s">
        <v>202</v>
      </c>
      <c r="D26" s="290" t="s">
        <v>16</v>
      </c>
      <c r="E26" s="290" t="s">
        <v>16</v>
      </c>
      <c r="F26" s="290" t="s">
        <v>16</v>
      </c>
      <c r="G26" s="290" t="s">
        <v>16</v>
      </c>
      <c r="H26" s="290" t="s">
        <v>16</v>
      </c>
      <c r="I26" s="290" t="s">
        <v>16</v>
      </c>
      <c r="J26" s="290" t="s">
        <v>16</v>
      </c>
      <c r="K26" s="290" t="s">
        <v>16</v>
      </c>
      <c r="L26" s="290" t="s">
        <v>16</v>
      </c>
      <c r="M26" s="290" t="s">
        <v>16</v>
      </c>
      <c r="N26" s="290" t="s">
        <v>16</v>
      </c>
      <c r="O26" s="290" t="s">
        <v>16</v>
      </c>
      <c r="P26" s="290" t="s">
        <v>16</v>
      </c>
      <c r="Q26" s="290" t="s">
        <v>16</v>
      </c>
      <c r="R26" s="290" t="s">
        <v>16</v>
      </c>
      <c r="S26" s="290" t="s">
        <v>16</v>
      </c>
      <c r="T26" s="290" t="s">
        <v>16</v>
      </c>
      <c r="U26" s="290" t="s">
        <v>16</v>
      </c>
      <c r="V26" s="290" t="s">
        <v>16</v>
      </c>
      <c r="W26" s="290">
        <v>11023</v>
      </c>
      <c r="X26" s="290" t="s">
        <v>16</v>
      </c>
    </row>
    <row r="27" spans="1:24" x14ac:dyDescent="0.2">
      <c r="A27" s="290" t="s">
        <v>688</v>
      </c>
      <c r="B27" s="290" t="s">
        <v>645</v>
      </c>
      <c r="C27" s="290" t="s">
        <v>203</v>
      </c>
      <c r="D27" s="290" t="s">
        <v>16</v>
      </c>
      <c r="E27" s="290" t="s">
        <v>16</v>
      </c>
      <c r="F27" s="290" t="s">
        <v>16</v>
      </c>
      <c r="G27" s="290" t="s">
        <v>16</v>
      </c>
      <c r="H27" s="290" t="s">
        <v>16</v>
      </c>
      <c r="I27" s="290" t="s">
        <v>16</v>
      </c>
      <c r="J27" s="290" t="s">
        <v>16</v>
      </c>
      <c r="K27" s="290">
        <v>77599</v>
      </c>
      <c r="L27" s="290" t="s">
        <v>16</v>
      </c>
      <c r="M27" s="290" t="s">
        <v>16</v>
      </c>
      <c r="N27" s="290">
        <v>160160</v>
      </c>
      <c r="O27" s="290" t="s">
        <v>16</v>
      </c>
      <c r="P27" s="290" t="s">
        <v>16</v>
      </c>
      <c r="Q27" s="290" t="s">
        <v>16</v>
      </c>
      <c r="R27" s="290" t="s">
        <v>16</v>
      </c>
      <c r="S27" s="290" t="s">
        <v>16</v>
      </c>
      <c r="T27" s="290" t="s">
        <v>16</v>
      </c>
      <c r="U27" s="290" t="s">
        <v>16</v>
      </c>
      <c r="V27" s="290" t="s">
        <v>16</v>
      </c>
      <c r="W27" s="290" t="s">
        <v>16</v>
      </c>
      <c r="X27" s="290" t="s">
        <v>16</v>
      </c>
    </row>
    <row r="28" spans="1:24" x14ac:dyDescent="0.2">
      <c r="A28" s="290" t="s">
        <v>687</v>
      </c>
      <c r="B28" s="290" t="s">
        <v>645</v>
      </c>
      <c r="C28" s="290" t="s">
        <v>182</v>
      </c>
      <c r="D28" s="290" t="s">
        <v>16</v>
      </c>
      <c r="E28" s="290" t="s">
        <v>16</v>
      </c>
      <c r="F28" s="290">
        <v>29</v>
      </c>
      <c r="G28" s="290" t="s">
        <v>16</v>
      </c>
      <c r="H28" s="290">
        <v>30300</v>
      </c>
      <c r="I28" s="290" t="s">
        <v>16</v>
      </c>
      <c r="J28" s="290">
        <v>77918</v>
      </c>
      <c r="K28" s="290">
        <v>78480</v>
      </c>
      <c r="L28" s="290" t="s">
        <v>16</v>
      </c>
      <c r="M28" s="290">
        <v>327090</v>
      </c>
      <c r="N28" s="290">
        <v>850055</v>
      </c>
      <c r="O28" s="290">
        <v>318058</v>
      </c>
      <c r="P28" s="290">
        <v>161946</v>
      </c>
      <c r="Q28" s="290">
        <v>24627</v>
      </c>
      <c r="R28" s="290" t="s">
        <v>16</v>
      </c>
      <c r="S28" s="290" t="s">
        <v>16</v>
      </c>
      <c r="T28" s="290" t="s">
        <v>16</v>
      </c>
      <c r="U28" s="290">
        <v>183499</v>
      </c>
      <c r="V28" s="290">
        <v>77944</v>
      </c>
      <c r="W28" s="290" t="s">
        <v>16</v>
      </c>
      <c r="X28" s="290" t="s">
        <v>16</v>
      </c>
    </row>
    <row r="29" spans="1:24" x14ac:dyDescent="0.2">
      <c r="A29" s="290" t="s">
        <v>686</v>
      </c>
      <c r="B29" s="290" t="s">
        <v>645</v>
      </c>
      <c r="C29" s="290" t="s">
        <v>185</v>
      </c>
      <c r="D29" s="290" t="s">
        <v>16</v>
      </c>
      <c r="E29" s="290" t="s">
        <v>16</v>
      </c>
      <c r="F29" s="290" t="s">
        <v>16</v>
      </c>
      <c r="G29" s="290">
        <v>177955</v>
      </c>
      <c r="H29" s="290">
        <v>67109</v>
      </c>
      <c r="I29" s="290" t="s">
        <v>16</v>
      </c>
      <c r="J29" s="290" t="s">
        <v>16</v>
      </c>
      <c r="K29" s="290">
        <v>387295</v>
      </c>
      <c r="L29" s="290">
        <v>71824</v>
      </c>
      <c r="M29" s="290">
        <v>361632</v>
      </c>
      <c r="N29" s="290">
        <v>1171405</v>
      </c>
      <c r="O29" s="290">
        <v>1448713</v>
      </c>
      <c r="P29" s="290">
        <v>747017</v>
      </c>
      <c r="Q29" s="290">
        <v>496844</v>
      </c>
      <c r="R29" s="290">
        <v>1148451</v>
      </c>
      <c r="S29" s="290">
        <v>865312</v>
      </c>
      <c r="T29" s="290">
        <v>1705080</v>
      </c>
      <c r="U29" s="290">
        <v>1611932</v>
      </c>
      <c r="V29" s="290">
        <v>578353</v>
      </c>
      <c r="W29" s="290">
        <v>354706</v>
      </c>
      <c r="X29" s="290">
        <v>720767</v>
      </c>
    </row>
    <row r="30" spans="1:24" x14ac:dyDescent="0.2">
      <c r="A30" s="290" t="s">
        <v>722</v>
      </c>
      <c r="B30" s="290" t="s">
        <v>645</v>
      </c>
      <c r="C30" s="290" t="s">
        <v>205</v>
      </c>
      <c r="D30" s="290" t="s">
        <v>16</v>
      </c>
      <c r="E30" s="290" t="s">
        <v>16</v>
      </c>
      <c r="F30" s="290" t="s">
        <v>16</v>
      </c>
      <c r="G30" s="290" t="s">
        <v>16</v>
      </c>
      <c r="H30" s="290" t="s">
        <v>16</v>
      </c>
      <c r="I30" s="290" t="s">
        <v>16</v>
      </c>
      <c r="J30" s="290" t="s">
        <v>16</v>
      </c>
      <c r="K30" s="290">
        <v>63966</v>
      </c>
      <c r="L30" s="290">
        <v>78815</v>
      </c>
      <c r="M30" s="290" t="s">
        <v>16</v>
      </c>
      <c r="N30" s="290" t="s">
        <v>16</v>
      </c>
      <c r="O30" s="290" t="s">
        <v>16</v>
      </c>
      <c r="P30" s="290" t="s">
        <v>16</v>
      </c>
      <c r="Q30" s="290" t="s">
        <v>16</v>
      </c>
      <c r="R30" s="290" t="s">
        <v>16</v>
      </c>
      <c r="S30" s="290" t="s">
        <v>16</v>
      </c>
      <c r="T30" s="290" t="s">
        <v>16</v>
      </c>
      <c r="U30" s="290" t="s">
        <v>16</v>
      </c>
      <c r="V30" s="290" t="s">
        <v>16</v>
      </c>
      <c r="W30" s="290" t="s">
        <v>16</v>
      </c>
      <c r="X30" s="290" t="s">
        <v>16</v>
      </c>
    </row>
    <row r="31" spans="1:24" x14ac:dyDescent="0.2">
      <c r="A31" s="290" t="s">
        <v>685</v>
      </c>
      <c r="B31" s="290" t="s">
        <v>645</v>
      </c>
      <c r="C31" s="290" t="s">
        <v>180</v>
      </c>
      <c r="D31" s="290" t="s">
        <v>16</v>
      </c>
      <c r="E31" s="290" t="s">
        <v>16</v>
      </c>
      <c r="F31" s="290" t="s">
        <v>16</v>
      </c>
      <c r="G31" s="290" t="s">
        <v>16</v>
      </c>
      <c r="H31" s="290" t="s">
        <v>16</v>
      </c>
      <c r="I31" s="290" t="s">
        <v>16</v>
      </c>
      <c r="J31" s="290" t="s">
        <v>16</v>
      </c>
      <c r="K31" s="290">
        <v>73171</v>
      </c>
      <c r="L31" s="290" t="s">
        <v>16</v>
      </c>
      <c r="M31" s="290">
        <v>51596</v>
      </c>
      <c r="N31" s="290" t="s">
        <v>16</v>
      </c>
      <c r="O31" s="290" t="s">
        <v>16</v>
      </c>
      <c r="P31" s="290" t="s">
        <v>16</v>
      </c>
      <c r="Q31" s="290" t="s">
        <v>16</v>
      </c>
      <c r="R31" s="290" t="s">
        <v>16</v>
      </c>
      <c r="S31" s="290" t="s">
        <v>16</v>
      </c>
      <c r="T31" s="290">
        <v>68341</v>
      </c>
      <c r="U31" s="290">
        <v>37202</v>
      </c>
      <c r="V31" s="290">
        <v>83940</v>
      </c>
      <c r="W31" s="290" t="s">
        <v>16</v>
      </c>
      <c r="X31" s="290" t="s">
        <v>16</v>
      </c>
    </row>
    <row r="32" spans="1:24" x14ac:dyDescent="0.2">
      <c r="A32" s="290" t="s">
        <v>723</v>
      </c>
      <c r="B32" s="290" t="s">
        <v>645</v>
      </c>
      <c r="C32" s="290" t="s">
        <v>173</v>
      </c>
      <c r="D32" s="290" t="s">
        <v>16</v>
      </c>
      <c r="E32" s="290" t="s">
        <v>16</v>
      </c>
      <c r="F32" s="290" t="s">
        <v>16</v>
      </c>
      <c r="G32" s="290" t="s">
        <v>16</v>
      </c>
      <c r="H32" s="290" t="s">
        <v>16</v>
      </c>
      <c r="I32" s="290" t="s">
        <v>16</v>
      </c>
      <c r="J32" s="290" t="s">
        <v>16</v>
      </c>
      <c r="K32" s="290" t="s">
        <v>16</v>
      </c>
      <c r="L32" s="290" t="s">
        <v>16</v>
      </c>
      <c r="M32" s="290" t="s">
        <v>16</v>
      </c>
      <c r="N32" s="290" t="s">
        <v>16</v>
      </c>
      <c r="O32" s="290">
        <v>36361</v>
      </c>
      <c r="P32" s="290" t="s">
        <v>16</v>
      </c>
      <c r="Q32" s="290">
        <v>35845</v>
      </c>
      <c r="R32" s="290">
        <v>42443</v>
      </c>
      <c r="S32" s="290">
        <v>54320</v>
      </c>
      <c r="T32" s="290" t="s">
        <v>16</v>
      </c>
      <c r="U32" s="290">
        <v>83142</v>
      </c>
      <c r="V32" s="290">
        <v>164005</v>
      </c>
      <c r="W32" s="290">
        <v>14549</v>
      </c>
      <c r="X32" s="290">
        <v>100623</v>
      </c>
    </row>
    <row r="33" spans="1:24" x14ac:dyDescent="0.2">
      <c r="A33" s="290" t="s">
        <v>724</v>
      </c>
      <c r="B33" s="290" t="s">
        <v>645</v>
      </c>
      <c r="C33" s="290" t="s">
        <v>179</v>
      </c>
      <c r="D33" s="290" t="s">
        <v>16</v>
      </c>
      <c r="E33" s="290" t="s">
        <v>16</v>
      </c>
      <c r="F33" s="290" t="s">
        <v>16</v>
      </c>
      <c r="G33" s="290" t="s">
        <v>16</v>
      </c>
      <c r="H33" s="290" t="s">
        <v>16</v>
      </c>
      <c r="I33" s="290" t="s">
        <v>16</v>
      </c>
      <c r="J33" s="290" t="s">
        <v>16</v>
      </c>
      <c r="K33" s="290" t="s">
        <v>16</v>
      </c>
      <c r="L33" s="290" t="s">
        <v>16</v>
      </c>
      <c r="M33" s="290">
        <v>27558</v>
      </c>
      <c r="N33" s="290">
        <v>92418</v>
      </c>
      <c r="O33" s="290">
        <v>167483</v>
      </c>
      <c r="P33" s="290">
        <v>108928</v>
      </c>
      <c r="Q33" s="290">
        <v>176929</v>
      </c>
      <c r="R33" s="290">
        <v>34651</v>
      </c>
      <c r="S33" s="290">
        <v>142231</v>
      </c>
      <c r="T33" s="290">
        <v>74406</v>
      </c>
      <c r="U33" s="290">
        <v>216314</v>
      </c>
      <c r="V33" s="290">
        <v>165806</v>
      </c>
      <c r="W33" s="290">
        <v>98680</v>
      </c>
      <c r="X33" s="290">
        <v>190692</v>
      </c>
    </row>
    <row r="34" spans="1:24" x14ac:dyDescent="0.2">
      <c r="A34" s="290" t="s">
        <v>683</v>
      </c>
      <c r="B34" s="290" t="s">
        <v>645</v>
      </c>
      <c r="C34" s="290" t="s">
        <v>188</v>
      </c>
      <c r="D34" s="290" t="s">
        <v>16</v>
      </c>
      <c r="E34" s="290" t="s">
        <v>16</v>
      </c>
      <c r="F34" s="290" t="s">
        <v>16</v>
      </c>
      <c r="G34" s="290" t="s">
        <v>16</v>
      </c>
      <c r="H34" s="290" t="s">
        <v>16</v>
      </c>
      <c r="I34" s="290" t="s">
        <v>16</v>
      </c>
      <c r="J34" s="290" t="s">
        <v>16</v>
      </c>
      <c r="K34" s="290">
        <v>78769</v>
      </c>
      <c r="L34" s="290" t="s">
        <v>16</v>
      </c>
      <c r="M34" s="290">
        <v>188426</v>
      </c>
      <c r="N34" s="290">
        <v>697702</v>
      </c>
      <c r="O34" s="290">
        <v>1459070</v>
      </c>
      <c r="P34" s="290">
        <v>613484</v>
      </c>
      <c r="Q34" s="290">
        <v>114384</v>
      </c>
      <c r="R34" s="290" t="s">
        <v>16</v>
      </c>
      <c r="S34" s="290" t="s">
        <v>16</v>
      </c>
      <c r="T34" s="290">
        <v>1089484</v>
      </c>
      <c r="U34" s="290">
        <v>3297475</v>
      </c>
      <c r="V34" s="290">
        <v>934750</v>
      </c>
      <c r="W34" s="290">
        <v>1153738</v>
      </c>
      <c r="X34" s="290">
        <v>2521294</v>
      </c>
    </row>
    <row r="35" spans="1:24" x14ac:dyDescent="0.2">
      <c r="A35" s="290" t="s">
        <v>725</v>
      </c>
      <c r="B35" s="290" t="s">
        <v>645</v>
      </c>
      <c r="C35" s="290" t="s">
        <v>207</v>
      </c>
      <c r="D35" s="290" t="s">
        <v>16</v>
      </c>
      <c r="E35" s="290" t="s">
        <v>16</v>
      </c>
      <c r="F35" s="290" t="s">
        <v>16</v>
      </c>
      <c r="G35" s="290" t="s">
        <v>16</v>
      </c>
      <c r="H35" s="290" t="s">
        <v>16</v>
      </c>
      <c r="I35" s="290" t="s">
        <v>16</v>
      </c>
      <c r="J35" s="290" t="s">
        <v>16</v>
      </c>
      <c r="K35" s="290" t="s">
        <v>16</v>
      </c>
      <c r="L35" s="290" t="s">
        <v>16</v>
      </c>
      <c r="M35" s="290" t="s">
        <v>16</v>
      </c>
      <c r="N35" s="290">
        <v>388</v>
      </c>
      <c r="O35" s="290" t="s">
        <v>16</v>
      </c>
      <c r="P35" s="290" t="s">
        <v>16</v>
      </c>
      <c r="Q35" s="290" t="s">
        <v>16</v>
      </c>
      <c r="R35" s="290" t="s">
        <v>16</v>
      </c>
      <c r="S35" s="290" t="s">
        <v>16</v>
      </c>
      <c r="T35" s="290" t="s">
        <v>16</v>
      </c>
      <c r="U35" s="290" t="s">
        <v>16</v>
      </c>
      <c r="V35" s="290" t="s">
        <v>16</v>
      </c>
      <c r="W35" s="290" t="s">
        <v>16</v>
      </c>
      <c r="X35" s="290" t="s">
        <v>16</v>
      </c>
    </row>
    <row r="36" spans="1:24" x14ac:dyDescent="0.2">
      <c r="A36" s="290" t="s">
        <v>682</v>
      </c>
      <c r="B36" s="290" t="s">
        <v>645</v>
      </c>
      <c r="C36" s="290" t="s">
        <v>208</v>
      </c>
      <c r="D36" s="290" t="s">
        <v>16</v>
      </c>
      <c r="E36" s="290" t="s">
        <v>16</v>
      </c>
      <c r="F36" s="290" t="s">
        <v>16</v>
      </c>
      <c r="G36" s="290" t="s">
        <v>16</v>
      </c>
      <c r="H36" s="290" t="s">
        <v>16</v>
      </c>
      <c r="I36" s="290" t="s">
        <v>16</v>
      </c>
      <c r="J36" s="290" t="s">
        <v>16</v>
      </c>
      <c r="K36" s="290" t="s">
        <v>16</v>
      </c>
      <c r="L36" s="290" t="s">
        <v>16</v>
      </c>
      <c r="M36" s="290" t="s">
        <v>16</v>
      </c>
      <c r="N36" s="290" t="s">
        <v>16</v>
      </c>
      <c r="O36" s="290">
        <v>162297</v>
      </c>
      <c r="P36" s="290" t="s">
        <v>16</v>
      </c>
      <c r="Q36" s="290" t="s">
        <v>16</v>
      </c>
      <c r="R36" s="290" t="s">
        <v>16</v>
      </c>
      <c r="S36" s="290" t="s">
        <v>16</v>
      </c>
      <c r="T36" s="290" t="s">
        <v>16</v>
      </c>
      <c r="U36" s="290" t="s">
        <v>16</v>
      </c>
      <c r="V36" s="290" t="s">
        <v>16</v>
      </c>
      <c r="W36" s="290" t="s">
        <v>16</v>
      </c>
      <c r="X36" s="290" t="s">
        <v>16</v>
      </c>
    </row>
    <row r="37" spans="1:24" x14ac:dyDescent="0.2">
      <c r="A37" s="290" t="s">
        <v>681</v>
      </c>
      <c r="B37" s="290" t="s">
        <v>645</v>
      </c>
      <c r="C37" s="290" t="s">
        <v>209</v>
      </c>
      <c r="D37" s="290" t="s">
        <v>16</v>
      </c>
      <c r="E37" s="290" t="s">
        <v>16</v>
      </c>
      <c r="F37" s="290" t="s">
        <v>16</v>
      </c>
      <c r="G37" s="290" t="s">
        <v>16</v>
      </c>
      <c r="H37" s="290" t="s">
        <v>16</v>
      </c>
      <c r="I37" s="290" t="s">
        <v>16</v>
      </c>
      <c r="J37" s="290" t="s">
        <v>16</v>
      </c>
      <c r="K37" s="290" t="s">
        <v>16</v>
      </c>
      <c r="L37" s="290" t="s">
        <v>16</v>
      </c>
      <c r="M37" s="290" t="s">
        <v>16</v>
      </c>
      <c r="N37" s="290" t="s">
        <v>16</v>
      </c>
      <c r="O37" s="290">
        <v>18188</v>
      </c>
      <c r="P37" s="290" t="s">
        <v>16</v>
      </c>
      <c r="Q37" s="290" t="s">
        <v>16</v>
      </c>
      <c r="R37" s="290" t="s">
        <v>16</v>
      </c>
      <c r="S37" s="290" t="s">
        <v>16</v>
      </c>
      <c r="T37" s="290" t="s">
        <v>16</v>
      </c>
      <c r="U37" s="290" t="s">
        <v>16</v>
      </c>
      <c r="V37" s="290" t="s">
        <v>16</v>
      </c>
      <c r="W37" s="290" t="s">
        <v>16</v>
      </c>
      <c r="X37" s="290" t="s">
        <v>16</v>
      </c>
    </row>
    <row r="38" spans="1:24" x14ac:dyDescent="0.2">
      <c r="A38" s="290" t="s">
        <v>680</v>
      </c>
      <c r="B38" s="290" t="s">
        <v>645</v>
      </c>
      <c r="C38" s="290" t="s">
        <v>210</v>
      </c>
      <c r="D38" s="290" t="s">
        <v>16</v>
      </c>
      <c r="E38" s="290" t="s">
        <v>16</v>
      </c>
      <c r="F38" s="290">
        <v>68264</v>
      </c>
      <c r="G38" s="290">
        <v>134537</v>
      </c>
      <c r="H38" s="290" t="s">
        <v>16</v>
      </c>
      <c r="I38" s="290" t="s">
        <v>16</v>
      </c>
      <c r="J38" s="290" t="s">
        <v>16</v>
      </c>
      <c r="K38" s="290" t="s">
        <v>16</v>
      </c>
      <c r="L38" s="290" t="s">
        <v>16</v>
      </c>
      <c r="M38" s="290">
        <v>140388</v>
      </c>
      <c r="N38" s="290" t="s">
        <v>16</v>
      </c>
      <c r="O38" s="290">
        <v>450709</v>
      </c>
      <c r="P38" s="290" t="s">
        <v>16</v>
      </c>
      <c r="Q38" s="290">
        <v>168873</v>
      </c>
      <c r="R38" s="290" t="s">
        <v>16</v>
      </c>
      <c r="S38" s="290" t="s">
        <v>16</v>
      </c>
      <c r="T38" s="290" t="s">
        <v>16</v>
      </c>
      <c r="U38" s="290" t="s">
        <v>16</v>
      </c>
      <c r="V38" s="290" t="s">
        <v>16</v>
      </c>
      <c r="W38" s="290" t="s">
        <v>16</v>
      </c>
      <c r="X38" s="290">
        <v>10657</v>
      </c>
    </row>
    <row r="39" spans="1:24" x14ac:dyDescent="0.2">
      <c r="A39" s="290" t="s">
        <v>679</v>
      </c>
      <c r="B39" s="290" t="s">
        <v>645</v>
      </c>
      <c r="C39" s="290" t="s">
        <v>171</v>
      </c>
      <c r="D39" s="290">
        <v>47696</v>
      </c>
      <c r="E39" s="290" t="s">
        <v>16</v>
      </c>
      <c r="F39" s="290" t="s">
        <v>16</v>
      </c>
      <c r="G39" s="290" t="s">
        <v>16</v>
      </c>
      <c r="H39" s="290" t="s">
        <v>16</v>
      </c>
      <c r="I39" s="290" t="s">
        <v>16</v>
      </c>
      <c r="J39" s="290">
        <v>20923</v>
      </c>
      <c r="K39" s="290" t="s">
        <v>16</v>
      </c>
      <c r="L39" s="290" t="s">
        <v>16</v>
      </c>
      <c r="M39" s="290">
        <v>43218</v>
      </c>
      <c r="N39" s="290">
        <v>78816</v>
      </c>
      <c r="O39" s="290">
        <v>103225</v>
      </c>
      <c r="P39" s="290">
        <v>104644</v>
      </c>
      <c r="Q39" s="290">
        <v>103984</v>
      </c>
      <c r="R39" s="290">
        <v>119315</v>
      </c>
      <c r="S39" s="290">
        <v>36449</v>
      </c>
      <c r="T39" s="290">
        <v>135159</v>
      </c>
      <c r="U39" s="290">
        <v>72772</v>
      </c>
      <c r="V39" s="290">
        <v>105328</v>
      </c>
      <c r="W39" s="290">
        <v>53897</v>
      </c>
      <c r="X39" s="290">
        <v>69824</v>
      </c>
    </row>
    <row r="40" spans="1:24" x14ac:dyDescent="0.2">
      <c r="A40" s="290" t="s">
        <v>678</v>
      </c>
      <c r="B40" s="290" t="s">
        <v>645</v>
      </c>
      <c r="C40" s="290" t="s">
        <v>211</v>
      </c>
      <c r="D40" s="290" t="s">
        <v>16</v>
      </c>
      <c r="E40" s="290" t="s">
        <v>16</v>
      </c>
      <c r="F40" s="290" t="s">
        <v>16</v>
      </c>
      <c r="G40" s="290" t="s">
        <v>16</v>
      </c>
      <c r="H40" s="290" t="s">
        <v>16</v>
      </c>
      <c r="I40" s="290" t="s">
        <v>16</v>
      </c>
      <c r="J40" s="290" t="s">
        <v>16</v>
      </c>
      <c r="K40" s="290">
        <v>49657</v>
      </c>
      <c r="L40" s="290" t="s">
        <v>16</v>
      </c>
      <c r="M40" s="290" t="s">
        <v>16</v>
      </c>
      <c r="N40" s="290" t="s">
        <v>16</v>
      </c>
      <c r="O40" s="290">
        <v>63672</v>
      </c>
      <c r="P40" s="290">
        <v>63438</v>
      </c>
      <c r="Q40" s="290" t="s">
        <v>16</v>
      </c>
      <c r="R40" s="290" t="s">
        <v>16</v>
      </c>
      <c r="S40" s="290" t="s">
        <v>16</v>
      </c>
      <c r="T40" s="290" t="s">
        <v>16</v>
      </c>
      <c r="U40" s="290" t="s">
        <v>16</v>
      </c>
      <c r="V40" s="290" t="s">
        <v>16</v>
      </c>
      <c r="W40" s="290" t="s">
        <v>16</v>
      </c>
      <c r="X40" s="290" t="s">
        <v>16</v>
      </c>
    </row>
    <row r="41" spans="1:24" x14ac:dyDescent="0.2">
      <c r="A41" s="290" t="s">
        <v>726</v>
      </c>
      <c r="B41" s="290" t="s">
        <v>645</v>
      </c>
      <c r="C41" s="290" t="s">
        <v>213</v>
      </c>
      <c r="D41" s="290" t="s">
        <v>16</v>
      </c>
      <c r="E41" s="290" t="s">
        <v>16</v>
      </c>
      <c r="F41" s="290" t="s">
        <v>16</v>
      </c>
      <c r="G41" s="290" t="s">
        <v>16</v>
      </c>
      <c r="H41" s="290" t="s">
        <v>16</v>
      </c>
      <c r="I41" s="290" t="s">
        <v>16</v>
      </c>
      <c r="J41" s="290" t="s">
        <v>16</v>
      </c>
      <c r="K41" s="290" t="s">
        <v>16</v>
      </c>
      <c r="L41" s="290" t="s">
        <v>16</v>
      </c>
      <c r="M41" s="290" t="s">
        <v>16</v>
      </c>
      <c r="N41" s="290" t="s">
        <v>16</v>
      </c>
      <c r="O41" s="290" t="s">
        <v>16</v>
      </c>
      <c r="P41" s="290" t="s">
        <v>16</v>
      </c>
      <c r="Q41" s="290" t="s">
        <v>16</v>
      </c>
      <c r="R41" s="290">
        <v>6</v>
      </c>
      <c r="S41" s="290" t="s">
        <v>16</v>
      </c>
      <c r="T41" s="290" t="s">
        <v>16</v>
      </c>
      <c r="U41" s="290" t="s">
        <v>16</v>
      </c>
      <c r="V41" s="290" t="s">
        <v>16</v>
      </c>
      <c r="W41" s="290" t="s">
        <v>16</v>
      </c>
      <c r="X41" s="290" t="s">
        <v>16</v>
      </c>
    </row>
    <row r="42" spans="1:24" x14ac:dyDescent="0.2">
      <c r="A42" s="290" t="s">
        <v>675</v>
      </c>
      <c r="B42" s="290" t="s">
        <v>645</v>
      </c>
      <c r="C42" s="290" t="s">
        <v>214</v>
      </c>
      <c r="D42" s="290" t="s">
        <v>16</v>
      </c>
      <c r="E42" s="290" t="s">
        <v>16</v>
      </c>
      <c r="F42" s="290" t="s">
        <v>16</v>
      </c>
      <c r="G42" s="290" t="s">
        <v>16</v>
      </c>
      <c r="H42" s="290" t="s">
        <v>16</v>
      </c>
      <c r="I42" s="290" t="s">
        <v>16</v>
      </c>
      <c r="J42" s="290" t="s">
        <v>16</v>
      </c>
      <c r="K42" s="290" t="s">
        <v>16</v>
      </c>
      <c r="L42" s="290" t="s">
        <v>16</v>
      </c>
      <c r="M42" s="290">
        <v>36887</v>
      </c>
      <c r="N42" s="290">
        <v>115595</v>
      </c>
      <c r="O42" s="290" t="s">
        <v>16</v>
      </c>
      <c r="P42" s="290" t="s">
        <v>16</v>
      </c>
      <c r="Q42" s="290" t="s">
        <v>16</v>
      </c>
      <c r="R42" s="290" t="s">
        <v>16</v>
      </c>
      <c r="S42" s="290" t="s">
        <v>16</v>
      </c>
      <c r="T42" s="290" t="s">
        <v>16</v>
      </c>
      <c r="U42" s="290" t="s">
        <v>16</v>
      </c>
      <c r="V42" s="290" t="s">
        <v>16</v>
      </c>
      <c r="W42" s="290" t="s">
        <v>16</v>
      </c>
      <c r="X42" s="290" t="s">
        <v>16</v>
      </c>
    </row>
    <row r="43" spans="1:24" x14ac:dyDescent="0.2">
      <c r="A43" s="290" t="s">
        <v>727</v>
      </c>
      <c r="B43" s="290" t="s">
        <v>645</v>
      </c>
      <c r="C43" s="290" t="s">
        <v>216</v>
      </c>
      <c r="D43" s="290" t="s">
        <v>16</v>
      </c>
      <c r="E43" s="290" t="s">
        <v>16</v>
      </c>
      <c r="F43" s="290" t="s">
        <v>16</v>
      </c>
      <c r="G43" s="290" t="s">
        <v>16</v>
      </c>
      <c r="H43" s="290" t="s">
        <v>16</v>
      </c>
      <c r="I43" s="290" t="s">
        <v>16</v>
      </c>
      <c r="J43" s="290" t="s">
        <v>16</v>
      </c>
      <c r="K43" s="290" t="s">
        <v>16</v>
      </c>
      <c r="L43" s="290" t="s">
        <v>16</v>
      </c>
      <c r="M43" s="290" t="s">
        <v>16</v>
      </c>
      <c r="N43" s="290" t="s">
        <v>16</v>
      </c>
      <c r="O43" s="290" t="s">
        <v>16</v>
      </c>
      <c r="P43" s="290" t="s">
        <v>16</v>
      </c>
      <c r="Q43" s="290" t="s">
        <v>16</v>
      </c>
      <c r="R43" s="290" t="s">
        <v>16</v>
      </c>
      <c r="S43" s="290" t="s">
        <v>16</v>
      </c>
      <c r="T43" s="290" t="s">
        <v>16</v>
      </c>
      <c r="U43" s="290" t="s">
        <v>16</v>
      </c>
      <c r="V43" s="290" t="s">
        <v>16</v>
      </c>
      <c r="W43" s="290" t="s">
        <v>16</v>
      </c>
      <c r="X43" s="290">
        <v>48502</v>
      </c>
    </row>
    <row r="44" spans="1:24" x14ac:dyDescent="0.2">
      <c r="A44" s="290" t="s">
        <v>728</v>
      </c>
      <c r="B44" s="290" t="s">
        <v>645</v>
      </c>
      <c r="C44" s="290" t="s">
        <v>218</v>
      </c>
      <c r="D44" s="290" t="s">
        <v>16</v>
      </c>
      <c r="E44" s="290" t="s">
        <v>16</v>
      </c>
      <c r="F44" s="290" t="s">
        <v>16</v>
      </c>
      <c r="G44" s="290" t="s">
        <v>16</v>
      </c>
      <c r="H44" s="290" t="s">
        <v>16</v>
      </c>
      <c r="I44" s="290" t="s">
        <v>16</v>
      </c>
      <c r="J44" s="290" t="s">
        <v>16</v>
      </c>
      <c r="K44" s="290" t="s">
        <v>16</v>
      </c>
      <c r="L44" s="290" t="s">
        <v>16</v>
      </c>
      <c r="M44" s="290" t="s">
        <v>16</v>
      </c>
      <c r="N44" s="290" t="s">
        <v>16</v>
      </c>
      <c r="O44" s="290" t="s">
        <v>16</v>
      </c>
      <c r="P44" s="290" t="s">
        <v>16</v>
      </c>
      <c r="Q44" s="290">
        <v>260</v>
      </c>
      <c r="R44" s="290" t="s">
        <v>16</v>
      </c>
      <c r="S44" s="290" t="s">
        <v>16</v>
      </c>
      <c r="T44" s="290" t="s">
        <v>16</v>
      </c>
      <c r="U44" s="290" t="s">
        <v>16</v>
      </c>
      <c r="V44" s="290" t="s">
        <v>16</v>
      </c>
      <c r="W44" s="290" t="s">
        <v>16</v>
      </c>
      <c r="X44" s="290" t="s">
        <v>16</v>
      </c>
    </row>
    <row r="45" spans="1:24" x14ac:dyDescent="0.2">
      <c r="A45" s="290" t="s">
        <v>674</v>
      </c>
      <c r="B45" s="290" t="s">
        <v>645</v>
      </c>
      <c r="C45" s="290" t="s">
        <v>189</v>
      </c>
      <c r="D45" s="290" t="s">
        <v>16</v>
      </c>
      <c r="E45" s="290" t="s">
        <v>16</v>
      </c>
      <c r="F45" s="290">
        <v>88477</v>
      </c>
      <c r="G45" s="290" t="s">
        <v>16</v>
      </c>
      <c r="H45" s="290" t="s">
        <v>16</v>
      </c>
      <c r="I45" s="290" t="s">
        <v>16</v>
      </c>
      <c r="J45" s="290" t="s">
        <v>16</v>
      </c>
      <c r="K45" s="290" t="s">
        <v>16</v>
      </c>
      <c r="L45" s="290">
        <v>253125</v>
      </c>
      <c r="M45" s="290">
        <v>879013</v>
      </c>
      <c r="N45" s="290">
        <v>1363018</v>
      </c>
      <c r="O45" s="290">
        <v>1243728</v>
      </c>
      <c r="P45" s="290">
        <v>764371</v>
      </c>
      <c r="Q45" s="290">
        <v>18</v>
      </c>
      <c r="R45" s="290">
        <v>13007</v>
      </c>
      <c r="S45" s="290">
        <v>133094</v>
      </c>
      <c r="T45" s="290">
        <v>447310</v>
      </c>
      <c r="U45" s="290">
        <v>1182595</v>
      </c>
      <c r="V45" s="290" t="s">
        <v>16</v>
      </c>
      <c r="W45" s="290" t="s">
        <v>16</v>
      </c>
      <c r="X45" s="290">
        <v>4524</v>
      </c>
    </row>
    <row r="46" spans="1:24" x14ac:dyDescent="0.2">
      <c r="A46" s="290" t="s">
        <v>673</v>
      </c>
      <c r="B46" s="290" t="s">
        <v>645</v>
      </c>
      <c r="C46" s="290" t="s">
        <v>162</v>
      </c>
      <c r="D46" s="290">
        <v>214068</v>
      </c>
      <c r="E46" s="290" t="s">
        <v>16</v>
      </c>
      <c r="F46" s="290" t="s">
        <v>16</v>
      </c>
      <c r="G46" s="290">
        <v>270369</v>
      </c>
      <c r="H46" s="290" t="s">
        <v>16</v>
      </c>
      <c r="I46" s="290">
        <v>208947</v>
      </c>
      <c r="J46" s="290">
        <v>1667980</v>
      </c>
      <c r="K46" s="290">
        <v>1119552</v>
      </c>
      <c r="L46" s="290">
        <v>350200</v>
      </c>
      <c r="M46" s="290">
        <v>1048508</v>
      </c>
      <c r="N46" s="290">
        <v>1610232</v>
      </c>
      <c r="O46" s="290">
        <v>1407248</v>
      </c>
      <c r="P46" s="290">
        <v>282218</v>
      </c>
      <c r="Q46" s="290">
        <v>142850</v>
      </c>
      <c r="R46" s="290" t="s">
        <v>16</v>
      </c>
      <c r="S46" s="290">
        <v>140188</v>
      </c>
      <c r="T46" s="290">
        <v>766845</v>
      </c>
      <c r="U46" s="290">
        <v>1450341</v>
      </c>
      <c r="V46" s="290">
        <v>661314</v>
      </c>
      <c r="W46" s="290" t="s">
        <v>16</v>
      </c>
      <c r="X46" s="290">
        <v>695427</v>
      </c>
    </row>
    <row r="47" spans="1:24" x14ac:dyDescent="0.2">
      <c r="A47" s="290" t="s">
        <v>729</v>
      </c>
      <c r="B47" s="290" t="s">
        <v>645</v>
      </c>
      <c r="C47" s="290" t="s">
        <v>220</v>
      </c>
      <c r="D47" s="290" t="s">
        <v>16</v>
      </c>
      <c r="E47" s="290" t="s">
        <v>16</v>
      </c>
      <c r="F47" s="290" t="s">
        <v>16</v>
      </c>
      <c r="G47" s="290" t="s">
        <v>16</v>
      </c>
      <c r="H47" s="290" t="s">
        <v>16</v>
      </c>
      <c r="I47" s="290" t="s">
        <v>16</v>
      </c>
      <c r="J47" s="290" t="s">
        <v>16</v>
      </c>
      <c r="K47" s="290" t="s">
        <v>16</v>
      </c>
      <c r="L47" s="290" t="s">
        <v>16</v>
      </c>
      <c r="M47" s="290" t="s">
        <v>16</v>
      </c>
      <c r="N47" s="290" t="s">
        <v>16</v>
      </c>
      <c r="O47" s="290" t="s">
        <v>16</v>
      </c>
      <c r="P47" s="290">
        <v>22</v>
      </c>
      <c r="Q47" s="290" t="s">
        <v>16</v>
      </c>
      <c r="R47" s="290" t="s">
        <v>16</v>
      </c>
      <c r="S47" s="290" t="s">
        <v>16</v>
      </c>
      <c r="T47" s="290" t="s">
        <v>16</v>
      </c>
      <c r="U47" s="290" t="s">
        <v>16</v>
      </c>
      <c r="V47" s="290" t="s">
        <v>16</v>
      </c>
      <c r="W47" s="290" t="s">
        <v>16</v>
      </c>
      <c r="X47" s="290" t="s">
        <v>16</v>
      </c>
    </row>
    <row r="48" spans="1:24" x14ac:dyDescent="0.2">
      <c r="A48" s="290" t="s">
        <v>672</v>
      </c>
      <c r="B48" s="290" t="s">
        <v>645</v>
      </c>
      <c r="C48" s="290" t="s">
        <v>187</v>
      </c>
      <c r="D48" s="290" t="s">
        <v>16</v>
      </c>
      <c r="E48" s="290" t="s">
        <v>16</v>
      </c>
      <c r="F48" s="290">
        <v>101333</v>
      </c>
      <c r="G48" s="290">
        <v>460127</v>
      </c>
      <c r="H48" s="290">
        <v>101413</v>
      </c>
      <c r="I48" s="290">
        <v>157175</v>
      </c>
      <c r="J48" s="290">
        <v>238439</v>
      </c>
      <c r="K48" s="290">
        <v>631998</v>
      </c>
      <c r="L48" s="290">
        <v>433380</v>
      </c>
      <c r="M48" s="290">
        <v>623844</v>
      </c>
      <c r="N48" s="290">
        <v>1714695</v>
      </c>
      <c r="O48" s="290">
        <v>2836003</v>
      </c>
      <c r="P48" s="290">
        <v>3253417</v>
      </c>
      <c r="Q48" s="290">
        <v>3923031</v>
      </c>
      <c r="R48" s="290">
        <v>5212824</v>
      </c>
      <c r="S48" s="290">
        <v>3391838</v>
      </c>
      <c r="T48" s="290">
        <v>3727956</v>
      </c>
      <c r="U48" s="290">
        <v>4033318</v>
      </c>
      <c r="V48" s="290">
        <v>3476944</v>
      </c>
      <c r="W48" s="290">
        <v>1116565</v>
      </c>
      <c r="X48" s="290">
        <v>2627418</v>
      </c>
    </row>
    <row r="49" spans="1:24" x14ac:dyDescent="0.2">
      <c r="A49" s="290" t="s">
        <v>730</v>
      </c>
      <c r="B49" s="290" t="s">
        <v>645</v>
      </c>
      <c r="C49" s="290" t="s">
        <v>222</v>
      </c>
      <c r="D49" s="290">
        <v>6737</v>
      </c>
      <c r="E49" s="290" t="s">
        <v>16</v>
      </c>
      <c r="F49" s="290" t="s">
        <v>16</v>
      </c>
      <c r="G49" s="290" t="s">
        <v>16</v>
      </c>
      <c r="H49" s="290" t="s">
        <v>16</v>
      </c>
      <c r="I49" s="290" t="s">
        <v>16</v>
      </c>
      <c r="J49" s="290" t="s">
        <v>16</v>
      </c>
      <c r="K49" s="290" t="s">
        <v>16</v>
      </c>
      <c r="L49" s="290" t="s">
        <v>16</v>
      </c>
      <c r="M49" s="290" t="s">
        <v>16</v>
      </c>
      <c r="N49" s="290" t="s">
        <v>16</v>
      </c>
      <c r="O49" s="290" t="s">
        <v>16</v>
      </c>
      <c r="P49" s="290" t="s">
        <v>16</v>
      </c>
      <c r="Q49" s="290" t="s">
        <v>16</v>
      </c>
      <c r="R49" s="290" t="s">
        <v>16</v>
      </c>
      <c r="S49" s="290" t="s">
        <v>16</v>
      </c>
      <c r="T49" s="290" t="s">
        <v>16</v>
      </c>
      <c r="U49" s="290" t="s">
        <v>16</v>
      </c>
      <c r="V49" s="290" t="s">
        <v>16</v>
      </c>
      <c r="W49" s="290" t="s">
        <v>16</v>
      </c>
      <c r="X49" s="290" t="s">
        <v>16</v>
      </c>
    </row>
    <row r="50" spans="1:24" x14ac:dyDescent="0.2">
      <c r="A50" s="290" t="s">
        <v>670</v>
      </c>
      <c r="B50" s="290" t="s">
        <v>645</v>
      </c>
      <c r="C50" s="290" t="s">
        <v>223</v>
      </c>
      <c r="D50" s="290">
        <v>26005</v>
      </c>
      <c r="E50" s="290">
        <v>9877</v>
      </c>
      <c r="F50" s="290" t="s">
        <v>16</v>
      </c>
      <c r="G50" s="290" t="s">
        <v>16</v>
      </c>
      <c r="H50" s="290" t="s">
        <v>16</v>
      </c>
      <c r="I50" s="290" t="s">
        <v>16</v>
      </c>
      <c r="J50" s="290" t="s">
        <v>16</v>
      </c>
      <c r="K50" s="290" t="s">
        <v>16</v>
      </c>
      <c r="L50" s="290" t="s">
        <v>16</v>
      </c>
      <c r="M50" s="290" t="s">
        <v>16</v>
      </c>
      <c r="N50" s="290" t="s">
        <v>16</v>
      </c>
      <c r="O50" s="290" t="s">
        <v>16</v>
      </c>
      <c r="P50" s="290" t="s">
        <v>16</v>
      </c>
      <c r="Q50" s="290" t="s">
        <v>16</v>
      </c>
      <c r="R50" s="290" t="s">
        <v>16</v>
      </c>
      <c r="S50" s="290" t="s">
        <v>16</v>
      </c>
      <c r="T50" s="290" t="s">
        <v>16</v>
      </c>
      <c r="U50" s="290" t="s">
        <v>16</v>
      </c>
      <c r="V50" s="290" t="s">
        <v>16</v>
      </c>
      <c r="W50" s="290" t="s">
        <v>16</v>
      </c>
      <c r="X50" s="290" t="s">
        <v>16</v>
      </c>
    </row>
    <row r="51" spans="1:24" x14ac:dyDescent="0.2">
      <c r="A51" s="290" t="s">
        <v>668</v>
      </c>
      <c r="B51" s="290" t="s">
        <v>645</v>
      </c>
      <c r="C51" s="290" t="s">
        <v>176</v>
      </c>
      <c r="D51" s="290" t="s">
        <v>16</v>
      </c>
      <c r="E51" s="290" t="s">
        <v>16</v>
      </c>
      <c r="F51" s="290" t="s">
        <v>16</v>
      </c>
      <c r="G51" s="290" t="s">
        <v>16</v>
      </c>
      <c r="H51" s="290" t="s">
        <v>16</v>
      </c>
      <c r="I51" s="290" t="s">
        <v>16</v>
      </c>
      <c r="J51" s="290" t="s">
        <v>16</v>
      </c>
      <c r="K51" s="290" t="s">
        <v>16</v>
      </c>
      <c r="L51" s="290" t="s">
        <v>16</v>
      </c>
      <c r="M51" s="290" t="s">
        <v>16</v>
      </c>
      <c r="N51" s="290" t="s">
        <v>16</v>
      </c>
      <c r="O51" s="290">
        <v>112036</v>
      </c>
      <c r="P51" s="290" t="s">
        <v>16</v>
      </c>
      <c r="Q51" s="290" t="s">
        <v>16</v>
      </c>
      <c r="R51" s="290" t="s">
        <v>16</v>
      </c>
      <c r="S51" s="290" t="s">
        <v>16</v>
      </c>
      <c r="T51" s="290">
        <v>189843</v>
      </c>
      <c r="U51" s="290">
        <v>191425</v>
      </c>
      <c r="V51" s="290" t="s">
        <v>16</v>
      </c>
      <c r="W51" s="290" t="s">
        <v>16</v>
      </c>
      <c r="X51" s="290">
        <v>120545</v>
      </c>
    </row>
    <row r="52" spans="1:24" x14ac:dyDescent="0.2">
      <c r="A52" s="290" t="s">
        <v>667</v>
      </c>
      <c r="B52" s="290" t="s">
        <v>645</v>
      </c>
      <c r="C52" s="290" t="s">
        <v>174</v>
      </c>
      <c r="D52" s="290" t="s">
        <v>16</v>
      </c>
      <c r="E52" s="290" t="s">
        <v>16</v>
      </c>
      <c r="F52" s="290" t="s">
        <v>16</v>
      </c>
      <c r="G52" s="290" t="s">
        <v>16</v>
      </c>
      <c r="H52" s="290" t="s">
        <v>16</v>
      </c>
      <c r="I52" s="290" t="s">
        <v>16</v>
      </c>
      <c r="J52" s="290" t="s">
        <v>16</v>
      </c>
      <c r="K52" s="290" t="s">
        <v>16</v>
      </c>
      <c r="L52" s="290" t="s">
        <v>16</v>
      </c>
      <c r="M52" s="290" t="s">
        <v>16</v>
      </c>
      <c r="N52" s="290">
        <v>240829</v>
      </c>
      <c r="O52" s="290" t="s">
        <v>16</v>
      </c>
      <c r="P52" s="290">
        <v>1199</v>
      </c>
      <c r="Q52" s="290">
        <v>679</v>
      </c>
      <c r="R52" s="290">
        <v>790</v>
      </c>
      <c r="S52" s="290">
        <v>24415</v>
      </c>
      <c r="T52" s="290">
        <v>173309</v>
      </c>
      <c r="U52" s="290">
        <v>152881</v>
      </c>
      <c r="V52" s="290" t="s">
        <v>16</v>
      </c>
      <c r="W52" s="290">
        <v>139</v>
      </c>
      <c r="X52" s="290">
        <v>31369</v>
      </c>
    </row>
    <row r="53" spans="1:24" x14ac:dyDescent="0.2">
      <c r="A53" s="290" t="s">
        <v>731</v>
      </c>
      <c r="B53" s="290" t="s">
        <v>645</v>
      </c>
      <c r="C53" s="290" t="s">
        <v>225</v>
      </c>
      <c r="D53" s="290" t="s">
        <v>16</v>
      </c>
      <c r="E53" s="290" t="s">
        <v>16</v>
      </c>
      <c r="F53" s="290" t="s">
        <v>16</v>
      </c>
      <c r="G53" s="290" t="s">
        <v>16</v>
      </c>
      <c r="H53" s="290" t="s">
        <v>16</v>
      </c>
      <c r="I53" s="290" t="s">
        <v>16</v>
      </c>
      <c r="J53" s="290" t="s">
        <v>16</v>
      </c>
      <c r="K53" s="290" t="s">
        <v>16</v>
      </c>
      <c r="L53" s="290" t="s">
        <v>16</v>
      </c>
      <c r="M53" s="290" t="s">
        <v>16</v>
      </c>
      <c r="N53" s="290" t="s">
        <v>16</v>
      </c>
      <c r="O53" s="290" t="s">
        <v>16</v>
      </c>
      <c r="P53" s="290" t="s">
        <v>16</v>
      </c>
      <c r="Q53" s="290" t="s">
        <v>16</v>
      </c>
      <c r="R53" s="290" t="s">
        <v>16</v>
      </c>
      <c r="S53" s="290" t="s">
        <v>16</v>
      </c>
      <c r="T53" s="290" t="s">
        <v>16</v>
      </c>
      <c r="U53" s="290" t="s">
        <v>16</v>
      </c>
      <c r="V53" s="290" t="s">
        <v>16</v>
      </c>
      <c r="W53" s="290" t="s">
        <v>16</v>
      </c>
      <c r="X53" s="290">
        <v>95383</v>
      </c>
    </row>
    <row r="54" spans="1:24" x14ac:dyDescent="0.2">
      <c r="A54" s="290" t="s">
        <v>666</v>
      </c>
      <c r="B54" s="290" t="s">
        <v>645</v>
      </c>
      <c r="C54" s="290" t="s">
        <v>226</v>
      </c>
      <c r="D54" s="290" t="s">
        <v>16</v>
      </c>
      <c r="E54" s="290" t="s">
        <v>16</v>
      </c>
      <c r="F54" s="290" t="s">
        <v>16</v>
      </c>
      <c r="G54" s="290" t="s">
        <v>16</v>
      </c>
      <c r="H54" s="290" t="s">
        <v>16</v>
      </c>
      <c r="I54" s="290" t="s">
        <v>16</v>
      </c>
      <c r="J54" s="290" t="s">
        <v>16</v>
      </c>
      <c r="K54" s="290" t="s">
        <v>16</v>
      </c>
      <c r="L54" s="290" t="s">
        <v>16</v>
      </c>
      <c r="M54" s="290" t="s">
        <v>16</v>
      </c>
      <c r="N54" s="290">
        <v>52364</v>
      </c>
      <c r="O54" s="290" t="s">
        <v>16</v>
      </c>
      <c r="P54" s="290">
        <v>106919</v>
      </c>
      <c r="Q54" s="290" t="s">
        <v>16</v>
      </c>
      <c r="R54" s="290" t="s">
        <v>16</v>
      </c>
      <c r="S54" s="290" t="s">
        <v>16</v>
      </c>
      <c r="T54" s="290" t="s">
        <v>16</v>
      </c>
      <c r="U54" s="290" t="s">
        <v>16</v>
      </c>
      <c r="V54" s="290" t="s">
        <v>16</v>
      </c>
      <c r="W54" s="290" t="s">
        <v>16</v>
      </c>
      <c r="X54" s="290" t="s">
        <v>16</v>
      </c>
    </row>
    <row r="55" spans="1:24" x14ac:dyDescent="0.2">
      <c r="A55" s="290" t="s">
        <v>665</v>
      </c>
      <c r="B55" s="290" t="s">
        <v>645</v>
      </c>
      <c r="C55" s="290" t="s">
        <v>183</v>
      </c>
      <c r="D55" s="290" t="s">
        <v>16</v>
      </c>
      <c r="E55" s="290" t="s">
        <v>16</v>
      </c>
      <c r="F55" s="290" t="s">
        <v>16</v>
      </c>
      <c r="G55" s="290" t="s">
        <v>16</v>
      </c>
      <c r="H55" s="290" t="s">
        <v>16</v>
      </c>
      <c r="I55" s="290" t="s">
        <v>16</v>
      </c>
      <c r="J55" s="290" t="s">
        <v>16</v>
      </c>
      <c r="K55" s="290" t="s">
        <v>16</v>
      </c>
      <c r="L55" s="290" t="s">
        <v>16</v>
      </c>
      <c r="M55" s="290">
        <v>72034</v>
      </c>
      <c r="N55" s="290">
        <v>142075</v>
      </c>
      <c r="O55" s="290">
        <v>269992</v>
      </c>
      <c r="P55" s="290">
        <v>105085</v>
      </c>
      <c r="Q55" s="290" t="s">
        <v>16</v>
      </c>
      <c r="R55" s="290" t="s">
        <v>16</v>
      </c>
      <c r="S55" s="290" t="s">
        <v>16</v>
      </c>
      <c r="T55" s="290">
        <v>253501</v>
      </c>
      <c r="U55" s="290">
        <v>532384</v>
      </c>
      <c r="V55" s="290">
        <v>396111</v>
      </c>
      <c r="W55" s="290">
        <v>169742</v>
      </c>
      <c r="X55" s="290" t="s">
        <v>16</v>
      </c>
    </row>
    <row r="56" spans="1:24" x14ac:dyDescent="0.2">
      <c r="A56" s="290" t="s">
        <v>664</v>
      </c>
      <c r="B56" s="290" t="s">
        <v>645</v>
      </c>
      <c r="C56" s="290" t="s">
        <v>227</v>
      </c>
      <c r="D56" s="290" t="s">
        <v>16</v>
      </c>
      <c r="E56" s="290" t="s">
        <v>16</v>
      </c>
      <c r="F56" s="290" t="s">
        <v>16</v>
      </c>
      <c r="G56" s="290" t="s">
        <v>16</v>
      </c>
      <c r="H56" s="290">
        <v>157355</v>
      </c>
      <c r="I56" s="290" t="s">
        <v>16</v>
      </c>
      <c r="J56" s="290" t="s">
        <v>16</v>
      </c>
      <c r="K56" s="290" t="s">
        <v>16</v>
      </c>
      <c r="L56" s="290" t="s">
        <v>16</v>
      </c>
      <c r="M56" s="290">
        <v>342514</v>
      </c>
      <c r="N56" s="290">
        <v>474570</v>
      </c>
      <c r="O56" s="290">
        <v>505267</v>
      </c>
      <c r="P56" s="290" t="s">
        <v>16</v>
      </c>
      <c r="Q56" s="290" t="s">
        <v>16</v>
      </c>
      <c r="R56" s="290" t="s">
        <v>16</v>
      </c>
      <c r="S56" s="290" t="s">
        <v>16</v>
      </c>
      <c r="T56" s="290" t="s">
        <v>16</v>
      </c>
      <c r="U56" s="290" t="s">
        <v>16</v>
      </c>
      <c r="V56" s="290" t="s">
        <v>16</v>
      </c>
      <c r="W56" s="290" t="s">
        <v>16</v>
      </c>
      <c r="X56" s="290" t="s">
        <v>16</v>
      </c>
    </row>
    <row r="57" spans="1:24" x14ac:dyDescent="0.2">
      <c r="A57" s="290" t="s">
        <v>663</v>
      </c>
      <c r="B57" s="290" t="s">
        <v>645</v>
      </c>
      <c r="C57" s="290" t="s">
        <v>228</v>
      </c>
      <c r="D57" s="290" t="s">
        <v>16</v>
      </c>
      <c r="E57" s="290" t="s">
        <v>16</v>
      </c>
      <c r="F57" s="290" t="s">
        <v>16</v>
      </c>
      <c r="G57" s="290" t="s">
        <v>16</v>
      </c>
      <c r="H57" s="290" t="s">
        <v>16</v>
      </c>
      <c r="I57" s="290" t="s">
        <v>16</v>
      </c>
      <c r="J57" s="290" t="s">
        <v>16</v>
      </c>
      <c r="K57" s="290" t="s">
        <v>16</v>
      </c>
      <c r="L57" s="290" t="s">
        <v>16</v>
      </c>
      <c r="M57" s="290" t="s">
        <v>16</v>
      </c>
      <c r="N57" s="290" t="s">
        <v>16</v>
      </c>
      <c r="O57" s="290" t="s">
        <v>16</v>
      </c>
      <c r="P57" s="290" t="s">
        <v>16</v>
      </c>
      <c r="Q57" s="290" t="s">
        <v>16</v>
      </c>
      <c r="R57" s="290">
        <v>18941</v>
      </c>
      <c r="S57" s="290" t="s">
        <v>16</v>
      </c>
      <c r="T57" s="290" t="s">
        <v>16</v>
      </c>
      <c r="U57" s="290" t="s">
        <v>16</v>
      </c>
      <c r="V57" s="290" t="s">
        <v>16</v>
      </c>
      <c r="W57" s="290" t="s">
        <v>16</v>
      </c>
      <c r="X57" s="290">
        <v>42439</v>
      </c>
    </row>
    <row r="58" spans="1:24" x14ac:dyDescent="0.2">
      <c r="A58" s="290" t="s">
        <v>732</v>
      </c>
      <c r="B58" s="290" t="s">
        <v>645</v>
      </c>
      <c r="C58" s="290" t="s">
        <v>230</v>
      </c>
      <c r="D58" s="290" t="s">
        <v>16</v>
      </c>
      <c r="E58" s="290" t="s">
        <v>16</v>
      </c>
      <c r="F58" s="290" t="s">
        <v>16</v>
      </c>
      <c r="G58" s="290" t="s">
        <v>16</v>
      </c>
      <c r="H58" s="290" t="s">
        <v>16</v>
      </c>
      <c r="I58" s="290" t="s">
        <v>16</v>
      </c>
      <c r="J58" s="290" t="s">
        <v>16</v>
      </c>
      <c r="K58" s="290" t="s">
        <v>16</v>
      </c>
      <c r="L58" s="290" t="s">
        <v>16</v>
      </c>
      <c r="M58" s="290" t="s">
        <v>16</v>
      </c>
      <c r="N58" s="290" t="s">
        <v>16</v>
      </c>
      <c r="O58" s="290">
        <v>75288</v>
      </c>
      <c r="P58" s="290" t="s">
        <v>16</v>
      </c>
      <c r="Q58" s="290" t="s">
        <v>16</v>
      </c>
      <c r="R58" s="290" t="s">
        <v>16</v>
      </c>
      <c r="S58" s="290" t="s">
        <v>16</v>
      </c>
      <c r="T58" s="290" t="s">
        <v>16</v>
      </c>
      <c r="U58" s="290" t="s">
        <v>16</v>
      </c>
      <c r="V58" s="290" t="s">
        <v>16</v>
      </c>
      <c r="W58" s="290" t="s">
        <v>16</v>
      </c>
      <c r="X58" s="290" t="s">
        <v>16</v>
      </c>
    </row>
    <row r="59" spans="1:24" x14ac:dyDescent="0.2">
      <c r="A59" s="290" t="s">
        <v>662</v>
      </c>
      <c r="B59" s="290" t="s">
        <v>645</v>
      </c>
      <c r="C59" s="290" t="s">
        <v>231</v>
      </c>
      <c r="D59" s="290" t="s">
        <v>16</v>
      </c>
      <c r="E59" s="290" t="s">
        <v>16</v>
      </c>
      <c r="F59" s="290" t="s">
        <v>16</v>
      </c>
      <c r="G59" s="290" t="s">
        <v>16</v>
      </c>
      <c r="H59" s="290" t="s">
        <v>16</v>
      </c>
      <c r="I59" s="290" t="s">
        <v>16</v>
      </c>
      <c r="J59" s="290" t="s">
        <v>16</v>
      </c>
      <c r="K59" s="290" t="s">
        <v>16</v>
      </c>
      <c r="L59" s="290" t="s">
        <v>16</v>
      </c>
      <c r="M59" s="290">
        <v>29278</v>
      </c>
      <c r="N59" s="290" t="s">
        <v>16</v>
      </c>
      <c r="O59" s="290" t="s">
        <v>16</v>
      </c>
      <c r="P59" s="290" t="s">
        <v>16</v>
      </c>
      <c r="Q59" s="290" t="s">
        <v>16</v>
      </c>
      <c r="R59" s="290" t="s">
        <v>16</v>
      </c>
      <c r="S59" s="290" t="s">
        <v>16</v>
      </c>
      <c r="T59" s="290" t="s">
        <v>16</v>
      </c>
      <c r="U59" s="290" t="s">
        <v>16</v>
      </c>
      <c r="V59" s="290" t="s">
        <v>16</v>
      </c>
      <c r="W59" s="290" t="s">
        <v>16</v>
      </c>
      <c r="X59" s="290" t="s">
        <v>16</v>
      </c>
    </row>
    <row r="60" spans="1:24" x14ac:dyDescent="0.2">
      <c r="A60" s="290" t="s">
        <v>661</v>
      </c>
      <c r="B60" s="290" t="s">
        <v>645</v>
      </c>
      <c r="C60" s="290" t="s">
        <v>232</v>
      </c>
      <c r="D60" s="290" t="s">
        <v>16</v>
      </c>
      <c r="E60" s="290" t="s">
        <v>16</v>
      </c>
      <c r="F60" s="290" t="s">
        <v>16</v>
      </c>
      <c r="G60" s="290" t="s">
        <v>16</v>
      </c>
      <c r="H60" s="290" t="s">
        <v>16</v>
      </c>
      <c r="I60" s="290" t="s">
        <v>16</v>
      </c>
      <c r="J60" s="290" t="s">
        <v>16</v>
      </c>
      <c r="K60" s="290" t="s">
        <v>16</v>
      </c>
      <c r="L60" s="290" t="s">
        <v>16</v>
      </c>
      <c r="M60" s="290" t="s">
        <v>16</v>
      </c>
      <c r="N60" s="290" t="s">
        <v>16</v>
      </c>
      <c r="O60" s="290" t="s">
        <v>16</v>
      </c>
      <c r="P60" s="290" t="s">
        <v>16</v>
      </c>
      <c r="Q60" s="290" t="s">
        <v>16</v>
      </c>
      <c r="R60" s="290" t="s">
        <v>16</v>
      </c>
      <c r="S60" s="290" t="s">
        <v>16</v>
      </c>
      <c r="T60" s="290" t="s">
        <v>16</v>
      </c>
      <c r="U60" s="290" t="s">
        <v>16</v>
      </c>
      <c r="V60" s="290" t="s">
        <v>16</v>
      </c>
      <c r="W60" s="290">
        <v>72540</v>
      </c>
      <c r="X60" s="290">
        <v>60627</v>
      </c>
    </row>
    <row r="61" spans="1:24" x14ac:dyDescent="0.2">
      <c r="A61" s="290" t="s">
        <v>660</v>
      </c>
      <c r="B61" s="290" t="s">
        <v>645</v>
      </c>
      <c r="C61" s="290" t="s">
        <v>233</v>
      </c>
      <c r="D61" s="290" t="s">
        <v>16</v>
      </c>
      <c r="E61" s="290" t="s">
        <v>16</v>
      </c>
      <c r="F61" s="290" t="s">
        <v>16</v>
      </c>
      <c r="G61" s="290" t="s">
        <v>16</v>
      </c>
      <c r="H61" s="290" t="s">
        <v>16</v>
      </c>
      <c r="I61" s="290" t="s">
        <v>16</v>
      </c>
      <c r="J61" s="290" t="s">
        <v>16</v>
      </c>
      <c r="K61" s="290" t="s">
        <v>16</v>
      </c>
      <c r="L61" s="290" t="s">
        <v>16</v>
      </c>
      <c r="M61" s="290" t="s">
        <v>16</v>
      </c>
      <c r="N61" s="290" t="s">
        <v>16</v>
      </c>
      <c r="O61" s="290">
        <v>87841</v>
      </c>
      <c r="P61" s="290">
        <v>161043</v>
      </c>
      <c r="Q61" s="290" t="s">
        <v>16</v>
      </c>
      <c r="R61" s="290" t="s">
        <v>16</v>
      </c>
      <c r="S61" s="290" t="s">
        <v>16</v>
      </c>
      <c r="T61" s="290" t="s">
        <v>16</v>
      </c>
      <c r="U61" s="290" t="s">
        <v>16</v>
      </c>
      <c r="V61" s="290" t="s">
        <v>16</v>
      </c>
      <c r="W61" s="290" t="s">
        <v>16</v>
      </c>
      <c r="X61" s="290" t="s">
        <v>16</v>
      </c>
    </row>
    <row r="62" spans="1:24" x14ac:dyDescent="0.2">
      <c r="A62" s="290" t="s">
        <v>658</v>
      </c>
      <c r="B62" s="290" t="s">
        <v>645</v>
      </c>
      <c r="C62" s="290" t="s">
        <v>234</v>
      </c>
      <c r="D62" s="290" t="s">
        <v>16</v>
      </c>
      <c r="E62" s="290" t="s">
        <v>16</v>
      </c>
      <c r="F62" s="290" t="s">
        <v>16</v>
      </c>
      <c r="G62" s="290" t="s">
        <v>16</v>
      </c>
      <c r="H62" s="290" t="s">
        <v>16</v>
      </c>
      <c r="I62" s="290" t="s">
        <v>16</v>
      </c>
      <c r="J62" s="290" t="s">
        <v>16</v>
      </c>
      <c r="K62" s="290">
        <v>232297</v>
      </c>
      <c r="L62" s="290" t="s">
        <v>16</v>
      </c>
      <c r="M62" s="290">
        <v>241741</v>
      </c>
      <c r="N62" s="290">
        <v>301266</v>
      </c>
      <c r="O62" s="290" t="s">
        <v>16</v>
      </c>
      <c r="P62" s="290" t="s">
        <v>16</v>
      </c>
      <c r="Q62" s="290" t="s">
        <v>16</v>
      </c>
      <c r="R62" s="290" t="s">
        <v>16</v>
      </c>
      <c r="S62" s="290" t="s">
        <v>16</v>
      </c>
      <c r="T62" s="290" t="s">
        <v>16</v>
      </c>
      <c r="U62" s="290" t="s">
        <v>16</v>
      </c>
      <c r="V62" s="290" t="s">
        <v>16</v>
      </c>
      <c r="W62" s="290" t="s">
        <v>16</v>
      </c>
      <c r="X62" s="290" t="s">
        <v>16</v>
      </c>
    </row>
    <row r="63" spans="1:24" x14ac:dyDescent="0.2">
      <c r="A63" s="290" t="s">
        <v>657</v>
      </c>
      <c r="B63" s="290" t="s">
        <v>645</v>
      </c>
      <c r="C63" s="290" t="s">
        <v>184</v>
      </c>
      <c r="D63" s="290">
        <v>689120</v>
      </c>
      <c r="E63" s="290">
        <v>529365</v>
      </c>
      <c r="F63" s="290">
        <v>138922</v>
      </c>
      <c r="G63" s="290">
        <v>73597</v>
      </c>
      <c r="H63" s="290" t="s">
        <v>16</v>
      </c>
      <c r="I63" s="290">
        <v>276061</v>
      </c>
      <c r="J63" s="290" t="s">
        <v>16</v>
      </c>
      <c r="K63" s="290">
        <v>592408</v>
      </c>
      <c r="L63" s="290" t="s">
        <v>16</v>
      </c>
      <c r="M63" s="290">
        <v>84510</v>
      </c>
      <c r="N63" s="290">
        <v>231484</v>
      </c>
      <c r="O63" s="290">
        <v>636976</v>
      </c>
      <c r="P63" s="290" t="s">
        <v>16</v>
      </c>
      <c r="Q63" s="290">
        <v>277914</v>
      </c>
      <c r="R63" s="290">
        <v>17308</v>
      </c>
      <c r="S63" s="290">
        <v>119638</v>
      </c>
      <c r="T63" s="290">
        <v>888263</v>
      </c>
      <c r="U63" s="290">
        <v>995504</v>
      </c>
      <c r="V63" s="290">
        <v>73669</v>
      </c>
      <c r="W63" s="290" t="s">
        <v>16</v>
      </c>
      <c r="X63" s="290" t="s">
        <v>16</v>
      </c>
    </row>
    <row r="64" spans="1:24" x14ac:dyDescent="0.2">
      <c r="A64" s="290" t="s">
        <v>733</v>
      </c>
      <c r="B64" s="290" t="s">
        <v>645</v>
      </c>
      <c r="C64" s="290" t="s">
        <v>167</v>
      </c>
      <c r="D64" s="290" t="s">
        <v>16</v>
      </c>
      <c r="E64" s="290" t="s">
        <v>16</v>
      </c>
      <c r="F64" s="290" t="s">
        <v>16</v>
      </c>
      <c r="G64" s="290" t="s">
        <v>16</v>
      </c>
      <c r="H64" s="290" t="s">
        <v>16</v>
      </c>
      <c r="I64" s="290" t="s">
        <v>16</v>
      </c>
      <c r="J64" s="290" t="s">
        <v>16</v>
      </c>
      <c r="K64" s="290" t="s">
        <v>16</v>
      </c>
      <c r="L64" s="290" t="s">
        <v>16</v>
      </c>
      <c r="M64" s="290" t="s">
        <v>16</v>
      </c>
      <c r="N64" s="290" t="s">
        <v>16</v>
      </c>
      <c r="O64" s="290" t="s">
        <v>16</v>
      </c>
      <c r="P64" s="290" t="s">
        <v>16</v>
      </c>
      <c r="Q64" s="290" t="s">
        <v>16</v>
      </c>
      <c r="R64" s="290" t="s">
        <v>16</v>
      </c>
      <c r="S64" s="290" t="s">
        <v>16</v>
      </c>
      <c r="T64" s="290" t="s">
        <v>16</v>
      </c>
      <c r="U64" s="290">
        <v>22</v>
      </c>
      <c r="V64" s="290" t="s">
        <v>16</v>
      </c>
      <c r="W64" s="290" t="s">
        <v>16</v>
      </c>
      <c r="X64" s="290" t="s">
        <v>16</v>
      </c>
    </row>
    <row r="65" spans="1:24" x14ac:dyDescent="0.2">
      <c r="A65" s="290" t="s">
        <v>656</v>
      </c>
      <c r="B65" s="290" t="s">
        <v>645</v>
      </c>
      <c r="C65" s="290" t="s">
        <v>235</v>
      </c>
      <c r="D65" s="290" t="s">
        <v>16</v>
      </c>
      <c r="E65" s="290" t="s">
        <v>16</v>
      </c>
      <c r="F65" s="290" t="s">
        <v>16</v>
      </c>
      <c r="G65" s="290" t="s">
        <v>16</v>
      </c>
      <c r="H65" s="290" t="s">
        <v>16</v>
      </c>
      <c r="I65" s="290" t="s">
        <v>16</v>
      </c>
      <c r="J65" s="290" t="s">
        <v>16</v>
      </c>
      <c r="K65" s="290">
        <v>158923</v>
      </c>
      <c r="L65" s="290" t="s">
        <v>16</v>
      </c>
      <c r="M65" s="290">
        <v>221912</v>
      </c>
      <c r="N65" s="290" t="s">
        <v>16</v>
      </c>
      <c r="O65" s="290" t="s">
        <v>16</v>
      </c>
      <c r="P65" s="290" t="s">
        <v>16</v>
      </c>
      <c r="Q65" s="290" t="s">
        <v>16</v>
      </c>
      <c r="R65" s="290" t="s">
        <v>16</v>
      </c>
      <c r="S65" s="290" t="s">
        <v>16</v>
      </c>
      <c r="T65" s="290" t="s">
        <v>16</v>
      </c>
      <c r="U65" s="290" t="s">
        <v>16</v>
      </c>
      <c r="V65" s="290" t="s">
        <v>16</v>
      </c>
      <c r="W65" s="290" t="s">
        <v>16</v>
      </c>
      <c r="X65" s="290" t="s">
        <v>16</v>
      </c>
    </row>
    <row r="66" spans="1:24" x14ac:dyDescent="0.2">
      <c r="A66" s="290" t="s">
        <v>655</v>
      </c>
      <c r="B66" s="290" t="s">
        <v>645</v>
      </c>
      <c r="C66" s="290" t="s">
        <v>236</v>
      </c>
      <c r="D66" s="290" t="s">
        <v>16</v>
      </c>
      <c r="E66" s="290" t="s">
        <v>16</v>
      </c>
      <c r="F66" s="290" t="s">
        <v>16</v>
      </c>
      <c r="G66" s="290" t="s">
        <v>16</v>
      </c>
      <c r="H66" s="290" t="s">
        <v>16</v>
      </c>
      <c r="I66" s="290" t="s">
        <v>16</v>
      </c>
      <c r="J66" s="290" t="s">
        <v>16</v>
      </c>
      <c r="K66" s="290" t="s">
        <v>16</v>
      </c>
      <c r="L66" s="290" t="s">
        <v>16</v>
      </c>
      <c r="M66" s="290" t="s">
        <v>16</v>
      </c>
      <c r="N66" s="290">
        <v>71114</v>
      </c>
      <c r="O66" s="290" t="s">
        <v>16</v>
      </c>
      <c r="P66" s="290" t="s">
        <v>16</v>
      </c>
      <c r="Q66" s="290" t="s">
        <v>16</v>
      </c>
      <c r="R66" s="290" t="s">
        <v>16</v>
      </c>
      <c r="S66" s="290" t="s">
        <v>16</v>
      </c>
      <c r="T66" s="290" t="s">
        <v>16</v>
      </c>
      <c r="U66" s="290" t="s">
        <v>16</v>
      </c>
      <c r="V66" s="290" t="s">
        <v>16</v>
      </c>
      <c r="W66" s="290" t="s">
        <v>16</v>
      </c>
      <c r="X66" s="290" t="s">
        <v>16</v>
      </c>
    </row>
    <row r="67" spans="1:24" x14ac:dyDescent="0.2">
      <c r="A67" s="290" t="s">
        <v>735</v>
      </c>
      <c r="B67" s="290" t="s">
        <v>645</v>
      </c>
      <c r="C67" s="290" t="s">
        <v>165</v>
      </c>
      <c r="D67" s="290" t="s">
        <v>16</v>
      </c>
      <c r="E67" s="290" t="s">
        <v>16</v>
      </c>
      <c r="F67" s="290" t="s">
        <v>16</v>
      </c>
      <c r="G67" s="290" t="s">
        <v>16</v>
      </c>
      <c r="H67" s="290" t="s">
        <v>16</v>
      </c>
      <c r="I67" s="290" t="s">
        <v>16</v>
      </c>
      <c r="J67" s="290" t="s">
        <v>16</v>
      </c>
      <c r="K67" s="290" t="s">
        <v>16</v>
      </c>
      <c r="L67" s="290" t="s">
        <v>16</v>
      </c>
      <c r="M67" s="290" t="s">
        <v>16</v>
      </c>
      <c r="N67" s="290" t="s">
        <v>16</v>
      </c>
      <c r="O67" s="290">
        <v>106841</v>
      </c>
      <c r="P67" s="290">
        <v>155244</v>
      </c>
      <c r="Q67" s="290">
        <v>51867</v>
      </c>
      <c r="R67" s="290" t="s">
        <v>16</v>
      </c>
      <c r="S67" s="290" t="s">
        <v>16</v>
      </c>
      <c r="T67" s="290">
        <v>108915</v>
      </c>
      <c r="U67" s="290">
        <v>110013</v>
      </c>
      <c r="V67" s="290">
        <v>98030</v>
      </c>
      <c r="W67" s="290" t="s">
        <v>16</v>
      </c>
      <c r="X67" s="290">
        <v>50038</v>
      </c>
    </row>
    <row r="68" spans="1:24" x14ac:dyDescent="0.2">
      <c r="A68" s="290" t="s">
        <v>653</v>
      </c>
      <c r="B68" s="290" t="s">
        <v>645</v>
      </c>
      <c r="C68" s="290" t="s">
        <v>237</v>
      </c>
      <c r="D68" s="290" t="s">
        <v>16</v>
      </c>
      <c r="E68" s="290" t="s">
        <v>16</v>
      </c>
      <c r="F68" s="290" t="s">
        <v>16</v>
      </c>
      <c r="G68" s="290" t="s">
        <v>16</v>
      </c>
      <c r="H68" s="290" t="s">
        <v>16</v>
      </c>
      <c r="I68" s="290" t="s">
        <v>16</v>
      </c>
      <c r="J68" s="290" t="s">
        <v>16</v>
      </c>
      <c r="K68" s="290" t="s">
        <v>16</v>
      </c>
      <c r="L68" s="290" t="s">
        <v>16</v>
      </c>
      <c r="M68" s="290" t="s">
        <v>16</v>
      </c>
      <c r="N68" s="290" t="s">
        <v>16</v>
      </c>
      <c r="O68" s="290">
        <v>132</v>
      </c>
      <c r="P68" s="290" t="s">
        <v>16</v>
      </c>
      <c r="Q68" s="290" t="s">
        <v>16</v>
      </c>
      <c r="R68" s="290" t="s">
        <v>16</v>
      </c>
      <c r="S68" s="290" t="s">
        <v>16</v>
      </c>
      <c r="T68" s="290" t="s">
        <v>16</v>
      </c>
      <c r="U68" s="290" t="s">
        <v>16</v>
      </c>
      <c r="V68" s="290">
        <v>60627</v>
      </c>
      <c r="W68" s="290">
        <v>33620</v>
      </c>
      <c r="X68" s="290" t="s">
        <v>16</v>
      </c>
    </row>
    <row r="69" spans="1:24" x14ac:dyDescent="0.2">
      <c r="A69" s="290" t="s">
        <v>652</v>
      </c>
      <c r="B69" s="290" t="s">
        <v>645</v>
      </c>
      <c r="C69" s="290" t="s">
        <v>238</v>
      </c>
      <c r="D69" s="290" t="s">
        <v>16</v>
      </c>
      <c r="E69" s="290">
        <v>5039</v>
      </c>
      <c r="F69" s="290" t="s">
        <v>16</v>
      </c>
      <c r="G69" s="290" t="s">
        <v>16</v>
      </c>
      <c r="H69" s="290" t="s">
        <v>16</v>
      </c>
      <c r="I69" s="290" t="s">
        <v>16</v>
      </c>
      <c r="J69" s="290" t="s">
        <v>16</v>
      </c>
      <c r="K69" s="290" t="s">
        <v>16</v>
      </c>
      <c r="L69" s="290" t="s">
        <v>16</v>
      </c>
      <c r="M69" s="290">
        <v>242482</v>
      </c>
      <c r="N69" s="290">
        <v>384802</v>
      </c>
      <c r="O69" s="290">
        <v>374843</v>
      </c>
      <c r="P69" s="290">
        <v>326137</v>
      </c>
      <c r="Q69" s="290">
        <v>131091</v>
      </c>
      <c r="R69" s="290" t="s">
        <v>16</v>
      </c>
      <c r="S69" s="290" t="s">
        <v>16</v>
      </c>
      <c r="T69" s="290" t="s">
        <v>16</v>
      </c>
      <c r="U69" s="290" t="s">
        <v>16</v>
      </c>
      <c r="V69" s="290" t="s">
        <v>16</v>
      </c>
      <c r="W69" s="290" t="s">
        <v>16</v>
      </c>
      <c r="X69" s="290" t="s">
        <v>16</v>
      </c>
    </row>
    <row r="70" spans="1:24" x14ac:dyDescent="0.2">
      <c r="A70" s="290" t="s">
        <v>651</v>
      </c>
      <c r="B70" s="290" t="s">
        <v>645</v>
      </c>
      <c r="C70" s="290" t="s">
        <v>192</v>
      </c>
      <c r="D70" s="290" t="s">
        <v>16</v>
      </c>
      <c r="E70" s="290" t="s">
        <v>16</v>
      </c>
      <c r="F70" s="290" t="s">
        <v>16</v>
      </c>
      <c r="G70" s="290" t="s">
        <v>16</v>
      </c>
      <c r="H70" s="290" t="s">
        <v>16</v>
      </c>
      <c r="I70" s="290" t="s">
        <v>16</v>
      </c>
      <c r="J70" s="290" t="s">
        <v>16</v>
      </c>
      <c r="K70" s="290" t="s">
        <v>16</v>
      </c>
      <c r="L70" s="290">
        <v>86939</v>
      </c>
      <c r="M70" s="290" t="s">
        <v>16</v>
      </c>
      <c r="N70" s="290">
        <v>70893</v>
      </c>
      <c r="O70" s="290" t="s">
        <v>16</v>
      </c>
      <c r="P70" s="290" t="s">
        <v>16</v>
      </c>
      <c r="Q70" s="290" t="s">
        <v>16</v>
      </c>
      <c r="R70" s="290" t="s">
        <v>16</v>
      </c>
      <c r="S70" s="290" t="s">
        <v>16</v>
      </c>
      <c r="T70" s="290">
        <v>84587</v>
      </c>
      <c r="U70" s="290">
        <v>110735</v>
      </c>
      <c r="V70" s="290">
        <v>275402</v>
      </c>
      <c r="W70" s="290" t="s">
        <v>16</v>
      </c>
      <c r="X70" s="290">
        <v>245514</v>
      </c>
    </row>
    <row r="71" spans="1:24" x14ac:dyDescent="0.2">
      <c r="A71" s="290" t="s">
        <v>650</v>
      </c>
      <c r="B71" s="290" t="s">
        <v>645</v>
      </c>
      <c r="C71" s="290" t="s">
        <v>239</v>
      </c>
      <c r="D71" s="290" t="s">
        <v>16</v>
      </c>
      <c r="E71" s="290" t="s">
        <v>16</v>
      </c>
      <c r="F71" s="290" t="s">
        <v>16</v>
      </c>
      <c r="G71" s="290" t="s">
        <v>16</v>
      </c>
      <c r="H71" s="290">
        <v>41160</v>
      </c>
      <c r="I71" s="290" t="s">
        <v>16</v>
      </c>
      <c r="J71" s="290" t="s">
        <v>16</v>
      </c>
      <c r="K71" s="290" t="s">
        <v>16</v>
      </c>
      <c r="L71" s="290" t="s">
        <v>16</v>
      </c>
      <c r="M71" s="290" t="s">
        <v>16</v>
      </c>
      <c r="N71" s="290" t="s">
        <v>16</v>
      </c>
      <c r="O71" s="290" t="s">
        <v>16</v>
      </c>
      <c r="P71" s="290" t="s">
        <v>16</v>
      </c>
      <c r="Q71" s="290" t="s">
        <v>16</v>
      </c>
      <c r="R71" s="290" t="s">
        <v>16</v>
      </c>
      <c r="S71" s="290" t="s">
        <v>16</v>
      </c>
      <c r="T71" s="290">
        <v>82508</v>
      </c>
      <c r="U71" s="290" t="s">
        <v>16</v>
      </c>
      <c r="V71" s="290">
        <v>66637</v>
      </c>
      <c r="W71" s="290" t="s">
        <v>16</v>
      </c>
      <c r="X71" s="290" t="s">
        <v>16</v>
      </c>
    </row>
    <row r="72" spans="1:24" x14ac:dyDescent="0.2">
      <c r="A72" s="290" t="s">
        <v>649</v>
      </c>
      <c r="B72" s="290" t="s">
        <v>645</v>
      </c>
      <c r="C72" s="290" t="s">
        <v>186</v>
      </c>
      <c r="D72" s="290" t="s">
        <v>16</v>
      </c>
      <c r="E72" s="290">
        <v>71378</v>
      </c>
      <c r="F72" s="290" t="s">
        <v>16</v>
      </c>
      <c r="G72" s="290">
        <v>437648</v>
      </c>
      <c r="H72" s="290">
        <v>69816</v>
      </c>
      <c r="I72" s="290">
        <v>776902</v>
      </c>
      <c r="J72" s="290">
        <v>1174611</v>
      </c>
      <c r="K72" s="290">
        <v>2650461</v>
      </c>
      <c r="L72" s="290">
        <v>1738708</v>
      </c>
      <c r="M72" s="290">
        <v>1034283</v>
      </c>
      <c r="N72" s="290">
        <v>2927851</v>
      </c>
      <c r="O72" s="290">
        <v>6871773</v>
      </c>
      <c r="P72" s="290">
        <v>6641832</v>
      </c>
      <c r="Q72" s="290">
        <v>2921572</v>
      </c>
      <c r="R72" s="290">
        <v>807990</v>
      </c>
      <c r="S72" s="290">
        <v>120560</v>
      </c>
      <c r="T72" s="290">
        <v>1379748</v>
      </c>
      <c r="U72" s="290">
        <v>2441960</v>
      </c>
      <c r="V72" s="290">
        <v>306947</v>
      </c>
      <c r="W72" s="290" t="s">
        <v>16</v>
      </c>
      <c r="X72" s="290">
        <v>376360</v>
      </c>
    </row>
    <row r="73" spans="1:24" x14ac:dyDescent="0.2">
      <c r="A73" s="290" t="s">
        <v>648</v>
      </c>
      <c r="B73" s="290" t="s">
        <v>645</v>
      </c>
      <c r="C73" s="290" t="s">
        <v>169</v>
      </c>
      <c r="D73" s="290" t="s">
        <v>16</v>
      </c>
      <c r="E73" s="290" t="s">
        <v>16</v>
      </c>
      <c r="F73" s="290" t="s">
        <v>16</v>
      </c>
      <c r="G73" s="290" t="s">
        <v>16</v>
      </c>
      <c r="H73" s="290" t="s">
        <v>16</v>
      </c>
      <c r="I73" s="290" t="s">
        <v>16</v>
      </c>
      <c r="J73" s="290" t="s">
        <v>16</v>
      </c>
      <c r="K73" s="290" t="s">
        <v>16</v>
      </c>
      <c r="L73" s="290" t="s">
        <v>16</v>
      </c>
      <c r="M73" s="290" t="s">
        <v>16</v>
      </c>
      <c r="N73" s="290" t="s">
        <v>16</v>
      </c>
      <c r="O73" s="290" t="s">
        <v>16</v>
      </c>
      <c r="P73" s="290" t="s">
        <v>16</v>
      </c>
      <c r="Q73" s="290" t="s">
        <v>16</v>
      </c>
      <c r="R73" s="290" t="s">
        <v>16</v>
      </c>
      <c r="S73" s="290" t="s">
        <v>16</v>
      </c>
      <c r="T73" s="290" t="s">
        <v>16</v>
      </c>
      <c r="U73" s="290">
        <v>37724</v>
      </c>
      <c r="V73" s="290" t="s">
        <v>16</v>
      </c>
      <c r="W73" s="290" t="s">
        <v>16</v>
      </c>
      <c r="X73" s="290" t="s">
        <v>16</v>
      </c>
    </row>
    <row r="74" spans="1:24" x14ac:dyDescent="0.2">
      <c r="A74" s="290" t="s">
        <v>647</v>
      </c>
      <c r="B74" s="290" t="s">
        <v>645</v>
      </c>
      <c r="C74" s="290" t="s">
        <v>240</v>
      </c>
      <c r="D74" s="290" t="s">
        <v>16</v>
      </c>
      <c r="E74" s="290" t="s">
        <v>16</v>
      </c>
      <c r="F74" s="290">
        <v>9922</v>
      </c>
      <c r="G74" s="290" t="s">
        <v>16</v>
      </c>
      <c r="H74" s="290">
        <v>15209</v>
      </c>
      <c r="I74" s="290" t="s">
        <v>16</v>
      </c>
      <c r="J74" s="290" t="s">
        <v>16</v>
      </c>
      <c r="K74" s="290" t="s">
        <v>16</v>
      </c>
      <c r="L74" s="290" t="s">
        <v>16</v>
      </c>
      <c r="M74" s="290" t="s">
        <v>16</v>
      </c>
      <c r="N74" s="290" t="s">
        <v>16</v>
      </c>
      <c r="O74" s="290" t="s">
        <v>16</v>
      </c>
      <c r="P74" s="290" t="s">
        <v>16</v>
      </c>
      <c r="Q74" s="290" t="s">
        <v>16</v>
      </c>
      <c r="R74" s="290" t="s">
        <v>16</v>
      </c>
      <c r="S74" s="290" t="s">
        <v>16</v>
      </c>
      <c r="T74" s="290" t="s">
        <v>16</v>
      </c>
      <c r="U74" s="290" t="s">
        <v>16</v>
      </c>
      <c r="V74" s="290" t="s">
        <v>16</v>
      </c>
      <c r="W74" s="290" t="s">
        <v>16</v>
      </c>
      <c r="X74" s="290" t="s">
        <v>16</v>
      </c>
    </row>
  </sheetData>
  <sortState xmlns:xlrd2="http://schemas.microsoft.com/office/spreadsheetml/2017/richdata2" ref="A13:X74">
    <sortCondition ref="B13:B74"/>
  </sortState>
  <conditionalFormatting sqref="D13:X74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40082-53D7-4B0F-9C79-99F0791346D1}">
  <sheetPr>
    <tabColor rgb="FF92D050"/>
  </sheetPr>
  <dimension ref="A1:W73"/>
  <sheetViews>
    <sheetView workbookViewId="0">
      <pane xSplit="2" ySplit="5" topLeftCell="C22" activePane="bottomRight" state="frozen"/>
      <selection pane="topRight" activeCell="C1" sqref="C1"/>
      <selection pane="bottomLeft" activeCell="A6" sqref="A6"/>
      <selection pane="bottomRight" activeCell="J32" sqref="J32"/>
    </sheetView>
  </sheetViews>
  <sheetFormatPr baseColWidth="10" defaultColWidth="9" defaultRowHeight="14" x14ac:dyDescent="0.2"/>
  <cols>
    <col min="1" max="1" width="29.1640625" style="290" customWidth="1"/>
    <col min="2" max="2" width="8.6640625" style="290" bestFit="1" customWidth="1"/>
    <col min="3" max="9" width="7" style="290" bestFit="1" customWidth="1"/>
    <col min="10" max="10" width="7.83203125" style="290" bestFit="1" customWidth="1"/>
    <col min="11" max="11" width="7" style="290" bestFit="1" customWidth="1"/>
    <col min="12" max="23" width="7.83203125" style="290" bestFit="1" customWidth="1"/>
    <col min="24" max="16384" width="9" style="290"/>
  </cols>
  <sheetData>
    <row r="1" spans="1:23" x14ac:dyDescent="0.2">
      <c r="A1" s="290" t="s">
        <v>0</v>
      </c>
    </row>
    <row r="2" spans="1:23" x14ac:dyDescent="0.2">
      <c r="A2" s="290" t="s">
        <v>707</v>
      </c>
    </row>
    <row r="3" spans="1:23" x14ac:dyDescent="0.2">
      <c r="A3" s="290" t="s">
        <v>706</v>
      </c>
    </row>
    <row r="4" spans="1:23" x14ac:dyDescent="0.2">
      <c r="A4" s="290" t="s">
        <v>3</v>
      </c>
    </row>
    <row r="5" spans="1:23" x14ac:dyDescent="0.2">
      <c r="A5" s="290" t="s">
        <v>4</v>
      </c>
      <c r="C5" s="290">
        <v>2001</v>
      </c>
      <c r="D5" s="290">
        <v>2002</v>
      </c>
      <c r="E5" s="290">
        <v>2003</v>
      </c>
      <c r="F5" s="290">
        <v>2004</v>
      </c>
      <c r="G5" s="290">
        <v>2005</v>
      </c>
      <c r="H5" s="290">
        <v>2006</v>
      </c>
      <c r="I5" s="290">
        <v>2007</v>
      </c>
      <c r="J5" s="290">
        <v>2008</v>
      </c>
      <c r="K5" s="290">
        <v>2009</v>
      </c>
      <c r="L5" s="290">
        <v>2010</v>
      </c>
      <c r="M5" s="290">
        <v>2011</v>
      </c>
      <c r="N5" s="290">
        <v>2012</v>
      </c>
      <c r="O5" s="290">
        <v>2013</v>
      </c>
      <c r="P5" s="290">
        <v>2014</v>
      </c>
      <c r="Q5" s="290">
        <v>2015</v>
      </c>
      <c r="R5" s="290">
        <v>2016</v>
      </c>
      <c r="S5" s="290">
        <v>2017</v>
      </c>
      <c r="T5" s="290">
        <v>2018</v>
      </c>
      <c r="U5" s="290">
        <v>2019</v>
      </c>
      <c r="V5" s="290">
        <v>2020</v>
      </c>
      <c r="W5" s="290">
        <v>2021</v>
      </c>
    </row>
    <row r="6" spans="1:23" x14ac:dyDescent="0.2">
      <c r="A6" s="290" t="s">
        <v>0</v>
      </c>
    </row>
    <row r="7" spans="1:23" x14ac:dyDescent="0.2">
      <c r="A7" s="290" t="s">
        <v>8</v>
      </c>
    </row>
    <row r="8" spans="1:23" x14ac:dyDescent="0.2">
      <c r="A8" s="290" t="s">
        <v>10</v>
      </c>
      <c r="C8" s="290">
        <v>4723442</v>
      </c>
      <c r="D8" s="290">
        <v>3637038</v>
      </c>
      <c r="E8" s="290">
        <v>3067324</v>
      </c>
      <c r="F8" s="290">
        <v>4739608</v>
      </c>
      <c r="G8" s="290">
        <v>5019987</v>
      </c>
      <c r="H8" s="290">
        <v>5899959</v>
      </c>
      <c r="I8" s="290">
        <v>7881116</v>
      </c>
      <c r="J8" s="290">
        <v>10990192</v>
      </c>
      <c r="K8" s="290">
        <v>6710622</v>
      </c>
      <c r="L8" s="290">
        <v>13857299</v>
      </c>
      <c r="M8" s="290">
        <v>19259578</v>
      </c>
      <c r="N8" s="290">
        <v>19587543</v>
      </c>
      <c r="O8" s="290">
        <v>15056151</v>
      </c>
      <c r="P8" s="290">
        <v>12893192</v>
      </c>
      <c r="Q8" s="290">
        <v>14292840</v>
      </c>
      <c r="R8" s="290">
        <v>14381776</v>
      </c>
      <c r="S8" s="290">
        <v>20595311</v>
      </c>
      <c r="T8" s="290">
        <v>21875784</v>
      </c>
      <c r="U8" s="290">
        <v>21533955</v>
      </c>
      <c r="V8" s="290">
        <v>16373290</v>
      </c>
      <c r="W8" s="290">
        <v>20016314</v>
      </c>
    </row>
    <row r="9" spans="1:23" x14ac:dyDescent="0.2">
      <c r="A9" s="290" t="s">
        <v>12</v>
      </c>
      <c r="C9" s="290">
        <v>4383501</v>
      </c>
      <c r="D9" s="290">
        <v>3097162</v>
      </c>
      <c r="E9" s="290">
        <v>2941380</v>
      </c>
      <c r="F9" s="290">
        <v>4033110</v>
      </c>
      <c r="G9" s="290">
        <v>4433960</v>
      </c>
      <c r="H9" s="290">
        <v>5108817</v>
      </c>
      <c r="I9" s="290">
        <v>6810169</v>
      </c>
      <c r="J9" s="290">
        <v>5681442</v>
      </c>
      <c r="K9" s="290">
        <v>3492288</v>
      </c>
      <c r="L9" s="290">
        <v>2017765</v>
      </c>
      <c r="M9" s="290">
        <v>3899487</v>
      </c>
      <c r="N9" s="290">
        <v>4431867</v>
      </c>
      <c r="O9" s="290">
        <v>4057168</v>
      </c>
      <c r="P9" s="290">
        <v>3371568</v>
      </c>
      <c r="Q9" s="290">
        <v>4403245</v>
      </c>
      <c r="R9" s="290">
        <v>5224123</v>
      </c>
      <c r="S9" s="290">
        <v>10099359</v>
      </c>
      <c r="T9" s="290">
        <v>11300277</v>
      </c>
      <c r="U9" s="290">
        <v>11515286</v>
      </c>
      <c r="V9" s="290">
        <v>10382354</v>
      </c>
      <c r="W9" s="290">
        <v>13274453</v>
      </c>
    </row>
    <row r="10" spans="1:23" x14ac:dyDescent="0.2">
      <c r="A10" s="290" t="s">
        <v>14</v>
      </c>
      <c r="C10" s="290">
        <v>339941</v>
      </c>
      <c r="D10" s="290">
        <v>539876</v>
      </c>
      <c r="E10" s="290">
        <v>125944</v>
      </c>
      <c r="F10" s="290">
        <v>706498</v>
      </c>
      <c r="G10" s="290">
        <v>586027</v>
      </c>
      <c r="H10" s="290">
        <v>791142</v>
      </c>
      <c r="I10" s="290">
        <v>1070947</v>
      </c>
      <c r="J10" s="290">
        <v>5308750</v>
      </c>
      <c r="K10" s="290">
        <v>3218334</v>
      </c>
      <c r="L10" s="290">
        <v>11839534</v>
      </c>
      <c r="M10" s="290">
        <v>15360091</v>
      </c>
      <c r="N10" s="290">
        <v>15155676</v>
      </c>
      <c r="O10" s="290">
        <v>10998983</v>
      </c>
      <c r="P10" s="290">
        <v>9521624</v>
      </c>
      <c r="Q10" s="290">
        <v>9889595</v>
      </c>
      <c r="R10" s="290">
        <v>9157653</v>
      </c>
      <c r="S10" s="290">
        <v>10495952</v>
      </c>
      <c r="T10" s="290">
        <v>10575507</v>
      </c>
      <c r="U10" s="290">
        <v>10018669</v>
      </c>
      <c r="V10" s="290">
        <v>5990936</v>
      </c>
      <c r="W10" s="290">
        <v>6741861</v>
      </c>
    </row>
    <row r="11" spans="1:23" x14ac:dyDescent="0.2">
      <c r="A11" s="290" t="s">
        <v>15</v>
      </c>
      <c r="C11" s="290" t="s">
        <v>16</v>
      </c>
      <c r="D11" s="290">
        <v>25501</v>
      </c>
      <c r="E11" s="290">
        <v>21</v>
      </c>
      <c r="F11" s="290">
        <v>74701</v>
      </c>
      <c r="G11" s="290">
        <v>91383</v>
      </c>
      <c r="H11" s="290">
        <v>16315</v>
      </c>
      <c r="I11" s="290">
        <v>58753</v>
      </c>
      <c r="J11" s="290">
        <v>18915</v>
      </c>
      <c r="K11" s="290">
        <v>588</v>
      </c>
      <c r="L11" s="290">
        <v>194394</v>
      </c>
      <c r="M11" s="290">
        <v>16756</v>
      </c>
      <c r="N11" s="290">
        <v>178936</v>
      </c>
      <c r="O11" s="290">
        <v>20414</v>
      </c>
      <c r="P11" s="290">
        <v>410</v>
      </c>
      <c r="Q11" s="290">
        <v>236</v>
      </c>
      <c r="R11" s="290">
        <v>148</v>
      </c>
      <c r="S11" s="290">
        <v>2015</v>
      </c>
      <c r="T11" s="290">
        <v>100</v>
      </c>
      <c r="U11" s="290">
        <v>42</v>
      </c>
      <c r="V11" s="290">
        <v>65</v>
      </c>
      <c r="W11" s="290">
        <v>295</v>
      </c>
    </row>
    <row r="14" spans="1:23" x14ac:dyDescent="0.2">
      <c r="A14" s="290" t="s">
        <v>705</v>
      </c>
      <c r="B14" s="290" t="s">
        <v>645</v>
      </c>
      <c r="C14" s="290" t="s">
        <v>16</v>
      </c>
      <c r="D14" s="290" t="s">
        <v>16</v>
      </c>
      <c r="E14" s="290" t="s">
        <v>16</v>
      </c>
      <c r="F14" s="290" t="s">
        <v>16</v>
      </c>
      <c r="G14" s="290" t="s">
        <v>16</v>
      </c>
      <c r="H14" s="290" t="s">
        <v>16</v>
      </c>
      <c r="I14" s="290" t="s">
        <v>16</v>
      </c>
      <c r="J14" s="290">
        <v>141732</v>
      </c>
      <c r="K14" s="290" t="s">
        <v>16</v>
      </c>
      <c r="L14" s="290" t="s">
        <v>16</v>
      </c>
      <c r="M14" s="290" t="s">
        <v>16</v>
      </c>
      <c r="N14" s="290" t="s">
        <v>16</v>
      </c>
      <c r="O14" s="290" t="s">
        <v>16</v>
      </c>
      <c r="P14" s="290" t="s">
        <v>16</v>
      </c>
      <c r="Q14" s="290" t="s">
        <v>16</v>
      </c>
      <c r="R14" s="290" t="s">
        <v>16</v>
      </c>
      <c r="S14" s="290">
        <v>13</v>
      </c>
      <c r="T14" s="290" t="s">
        <v>16</v>
      </c>
      <c r="U14" s="290" t="s">
        <v>16</v>
      </c>
      <c r="V14" s="290" t="s">
        <v>16</v>
      </c>
      <c r="W14" s="290" t="s">
        <v>16</v>
      </c>
    </row>
    <row r="15" spans="1:23" x14ac:dyDescent="0.2">
      <c r="A15" s="290" t="s">
        <v>704</v>
      </c>
      <c r="B15" s="290" t="s">
        <v>645</v>
      </c>
      <c r="C15" s="290" t="s">
        <v>16</v>
      </c>
      <c r="D15" s="290" t="s">
        <v>16</v>
      </c>
      <c r="E15" s="290" t="s">
        <v>16</v>
      </c>
      <c r="F15" s="290" t="s">
        <v>16</v>
      </c>
      <c r="G15" s="290">
        <v>2417</v>
      </c>
      <c r="H15" s="290">
        <v>39</v>
      </c>
      <c r="I15" s="290" t="s">
        <v>16</v>
      </c>
      <c r="J15" s="290" t="s">
        <v>16</v>
      </c>
      <c r="K15" s="290" t="s">
        <v>16</v>
      </c>
      <c r="L15" s="290" t="s">
        <v>16</v>
      </c>
      <c r="M15" s="290" t="s">
        <v>16</v>
      </c>
      <c r="N15" s="290" t="s">
        <v>16</v>
      </c>
      <c r="O15" s="290" t="s">
        <v>16</v>
      </c>
      <c r="P15" s="290" t="s">
        <v>16</v>
      </c>
      <c r="Q15" s="290" t="s">
        <v>16</v>
      </c>
      <c r="R15" s="290" t="s">
        <v>16</v>
      </c>
      <c r="S15" s="290">
        <v>100</v>
      </c>
      <c r="T15" s="290" t="s">
        <v>16</v>
      </c>
      <c r="U15" s="290" t="s">
        <v>16</v>
      </c>
      <c r="V15" s="290">
        <v>104201</v>
      </c>
      <c r="W15" s="290" t="s">
        <v>16</v>
      </c>
    </row>
    <row r="16" spans="1:23" x14ac:dyDescent="0.2">
      <c r="A16" s="290" t="s">
        <v>703</v>
      </c>
      <c r="B16" s="290" t="s">
        <v>645</v>
      </c>
      <c r="C16" s="290" t="s">
        <v>16</v>
      </c>
      <c r="D16" s="290" t="s">
        <v>16</v>
      </c>
      <c r="E16" s="290" t="s">
        <v>16</v>
      </c>
      <c r="F16" s="290" t="s">
        <v>16</v>
      </c>
      <c r="G16" s="290" t="s">
        <v>16</v>
      </c>
      <c r="H16" s="290" t="s">
        <v>16</v>
      </c>
      <c r="I16" s="290">
        <v>82689</v>
      </c>
      <c r="J16" s="290" t="s">
        <v>16</v>
      </c>
      <c r="K16" s="290" t="s">
        <v>16</v>
      </c>
      <c r="L16" s="290" t="s">
        <v>16</v>
      </c>
      <c r="M16" s="290" t="s">
        <v>16</v>
      </c>
      <c r="N16" s="290" t="s">
        <v>16</v>
      </c>
      <c r="O16" s="290" t="s">
        <v>16</v>
      </c>
      <c r="P16" s="290" t="s">
        <v>16</v>
      </c>
      <c r="Q16" s="290" t="s">
        <v>16</v>
      </c>
      <c r="R16" s="290" t="s">
        <v>16</v>
      </c>
      <c r="S16" s="290" t="s">
        <v>16</v>
      </c>
      <c r="T16" s="290" t="s">
        <v>16</v>
      </c>
      <c r="U16" s="290" t="s">
        <v>16</v>
      </c>
      <c r="V16" s="290" t="s">
        <v>16</v>
      </c>
      <c r="W16" s="290" t="s">
        <v>16</v>
      </c>
    </row>
    <row r="17" spans="1:23" x14ac:dyDescent="0.2">
      <c r="A17" s="290" t="s">
        <v>702</v>
      </c>
      <c r="B17" s="290" t="s">
        <v>645</v>
      </c>
      <c r="C17" s="290">
        <v>668564</v>
      </c>
      <c r="D17" s="290">
        <v>504406</v>
      </c>
      <c r="E17" s="290">
        <v>383730</v>
      </c>
      <c r="F17" s="290">
        <v>472885</v>
      </c>
      <c r="G17" s="290">
        <v>452645</v>
      </c>
      <c r="H17" s="290">
        <v>399792</v>
      </c>
      <c r="I17" s="290">
        <v>450082</v>
      </c>
      <c r="J17" s="290">
        <v>416094</v>
      </c>
      <c r="K17" s="290">
        <v>328570</v>
      </c>
      <c r="L17" s="290">
        <v>263220</v>
      </c>
      <c r="M17" s="290">
        <v>492295</v>
      </c>
      <c r="N17" s="290">
        <v>257737</v>
      </c>
      <c r="O17" s="290">
        <v>128363</v>
      </c>
      <c r="P17" s="290" t="s">
        <v>16</v>
      </c>
      <c r="Q17" s="290" t="s">
        <v>16</v>
      </c>
      <c r="R17" s="290" t="s">
        <v>16</v>
      </c>
      <c r="S17" s="290" t="s">
        <v>16</v>
      </c>
      <c r="T17" s="290">
        <v>35</v>
      </c>
      <c r="U17" s="290">
        <v>20591</v>
      </c>
      <c r="V17" s="290">
        <v>29</v>
      </c>
      <c r="W17" s="290">
        <v>35</v>
      </c>
    </row>
    <row r="18" spans="1:23" x14ac:dyDescent="0.2">
      <c r="A18" s="290" t="s">
        <v>701</v>
      </c>
      <c r="B18" s="290" t="s">
        <v>645</v>
      </c>
      <c r="C18" s="290" t="s">
        <v>16</v>
      </c>
      <c r="D18" s="290" t="s">
        <v>16</v>
      </c>
      <c r="E18" s="290">
        <v>22105</v>
      </c>
      <c r="F18" s="290">
        <v>379793</v>
      </c>
      <c r="G18" s="290">
        <v>179770</v>
      </c>
      <c r="H18" s="290" t="s">
        <v>16</v>
      </c>
      <c r="I18" s="290">
        <v>47676</v>
      </c>
      <c r="J18" s="290">
        <v>224703</v>
      </c>
      <c r="K18" s="290">
        <v>155</v>
      </c>
      <c r="L18" s="290">
        <v>55</v>
      </c>
      <c r="M18" s="290">
        <v>36380</v>
      </c>
      <c r="N18" s="290" t="s">
        <v>16</v>
      </c>
      <c r="O18" s="290">
        <v>34524</v>
      </c>
      <c r="P18" s="290">
        <v>74210</v>
      </c>
      <c r="Q18" s="290" t="s">
        <v>16</v>
      </c>
      <c r="R18" s="290" t="s">
        <v>16</v>
      </c>
      <c r="S18" s="290" t="s">
        <v>16</v>
      </c>
      <c r="T18" s="290">
        <v>80019</v>
      </c>
      <c r="U18" s="290">
        <v>154909</v>
      </c>
      <c r="V18" s="290">
        <v>482522</v>
      </c>
      <c r="W18" s="290">
        <v>491047</v>
      </c>
    </row>
    <row r="19" spans="1:23" x14ac:dyDescent="0.2">
      <c r="A19" s="290" t="s">
        <v>700</v>
      </c>
      <c r="B19" s="290" t="s">
        <v>645</v>
      </c>
      <c r="C19" s="290" t="s">
        <v>16</v>
      </c>
      <c r="D19" s="290" t="s">
        <v>16</v>
      </c>
      <c r="E19" s="290" t="s">
        <v>16</v>
      </c>
      <c r="F19" s="290" t="s">
        <v>16</v>
      </c>
      <c r="G19" s="290" t="s">
        <v>16</v>
      </c>
      <c r="H19" s="290">
        <v>81979</v>
      </c>
      <c r="I19" s="290" t="s">
        <v>16</v>
      </c>
      <c r="J19" s="290" t="s">
        <v>16</v>
      </c>
      <c r="K19" s="290" t="s">
        <v>16</v>
      </c>
      <c r="L19" s="290" t="s">
        <v>16</v>
      </c>
      <c r="M19" s="290" t="s">
        <v>16</v>
      </c>
      <c r="N19" s="290" t="s">
        <v>16</v>
      </c>
      <c r="O19" s="290" t="s">
        <v>16</v>
      </c>
      <c r="P19" s="290" t="s">
        <v>16</v>
      </c>
      <c r="Q19" s="290" t="s">
        <v>16</v>
      </c>
      <c r="R19" s="290" t="s">
        <v>16</v>
      </c>
      <c r="S19" s="290" t="s">
        <v>16</v>
      </c>
      <c r="T19" s="290" t="s">
        <v>16</v>
      </c>
      <c r="U19" s="290" t="s">
        <v>16</v>
      </c>
      <c r="V19" s="290" t="s">
        <v>16</v>
      </c>
      <c r="W19" s="290" t="s">
        <v>16</v>
      </c>
    </row>
    <row r="20" spans="1:23" x14ac:dyDescent="0.2">
      <c r="A20" s="290" t="s">
        <v>699</v>
      </c>
      <c r="B20" s="290" t="s">
        <v>645</v>
      </c>
      <c r="C20" s="290">
        <v>529670</v>
      </c>
      <c r="D20" s="290">
        <v>183629</v>
      </c>
      <c r="E20" s="290">
        <v>556521</v>
      </c>
      <c r="F20" s="290">
        <v>353963</v>
      </c>
      <c r="G20" s="290">
        <v>251406</v>
      </c>
      <c r="H20" s="290">
        <v>556148</v>
      </c>
      <c r="I20" s="290">
        <v>927479</v>
      </c>
      <c r="J20" s="290">
        <v>1040690</v>
      </c>
      <c r="K20" s="290">
        <v>323349</v>
      </c>
      <c r="L20" s="290">
        <v>43939</v>
      </c>
      <c r="M20" s="290">
        <v>240434</v>
      </c>
      <c r="N20" s="290">
        <v>275452</v>
      </c>
      <c r="O20" s="290">
        <v>69481</v>
      </c>
      <c r="P20" s="290">
        <v>139417</v>
      </c>
      <c r="Q20" s="290">
        <v>102895</v>
      </c>
      <c r="R20" s="290">
        <v>228586</v>
      </c>
      <c r="S20" s="290">
        <v>188913</v>
      </c>
      <c r="T20" s="290">
        <v>347138</v>
      </c>
      <c r="U20" s="290">
        <v>419642</v>
      </c>
      <c r="V20" s="290">
        <v>452017</v>
      </c>
      <c r="W20" s="290">
        <v>779088</v>
      </c>
    </row>
    <row r="21" spans="1:23" x14ac:dyDescent="0.2">
      <c r="A21" s="290" t="s">
        <v>698</v>
      </c>
      <c r="B21" s="290" t="s">
        <v>645</v>
      </c>
      <c r="C21" s="290">
        <v>20</v>
      </c>
      <c r="D21" s="290">
        <v>663</v>
      </c>
      <c r="E21" s="290">
        <v>94</v>
      </c>
      <c r="F21" s="290" t="s">
        <v>16</v>
      </c>
      <c r="G21" s="290">
        <v>188</v>
      </c>
      <c r="H21" s="290">
        <v>1034</v>
      </c>
      <c r="I21" s="290">
        <v>4902</v>
      </c>
      <c r="J21" s="290">
        <v>1646</v>
      </c>
      <c r="K21" s="290">
        <v>1243</v>
      </c>
      <c r="L21" s="290">
        <v>165211</v>
      </c>
      <c r="M21" s="290">
        <v>109339</v>
      </c>
      <c r="N21" s="290">
        <v>273494</v>
      </c>
      <c r="O21" s="290">
        <v>132423</v>
      </c>
      <c r="P21" s="290">
        <v>563</v>
      </c>
      <c r="Q21" s="290">
        <v>114</v>
      </c>
      <c r="R21" s="290">
        <v>58</v>
      </c>
      <c r="S21" s="290" t="s">
        <v>16</v>
      </c>
      <c r="T21" s="290">
        <v>386</v>
      </c>
      <c r="U21" s="290">
        <v>783</v>
      </c>
      <c r="V21" s="290">
        <v>602</v>
      </c>
      <c r="W21" s="290">
        <v>545</v>
      </c>
    </row>
    <row r="22" spans="1:23" x14ac:dyDescent="0.2">
      <c r="A22" s="290" t="s">
        <v>697</v>
      </c>
      <c r="B22" s="290" t="s">
        <v>645</v>
      </c>
      <c r="C22" s="290" t="s">
        <v>16</v>
      </c>
      <c r="D22" s="290" t="s">
        <v>16</v>
      </c>
      <c r="E22" s="290" t="s">
        <v>16</v>
      </c>
      <c r="F22" s="290" t="s">
        <v>16</v>
      </c>
      <c r="G22" s="290" t="s">
        <v>16</v>
      </c>
      <c r="H22" s="290" t="s">
        <v>16</v>
      </c>
      <c r="I22" s="290" t="s">
        <v>16</v>
      </c>
      <c r="J22" s="290" t="s">
        <v>16</v>
      </c>
      <c r="K22" s="290">
        <v>78264</v>
      </c>
      <c r="L22" s="290" t="s">
        <v>16</v>
      </c>
      <c r="M22" s="290">
        <v>284583</v>
      </c>
      <c r="N22" s="290">
        <v>558722</v>
      </c>
      <c r="O22" s="290">
        <v>281431</v>
      </c>
      <c r="P22" s="290" t="s">
        <v>16</v>
      </c>
      <c r="Q22" s="290" t="s">
        <v>16</v>
      </c>
      <c r="R22" s="290">
        <v>120887</v>
      </c>
      <c r="S22" s="290">
        <v>90941</v>
      </c>
      <c r="T22" s="290" t="s">
        <v>16</v>
      </c>
      <c r="U22" s="290" t="s">
        <v>16</v>
      </c>
      <c r="V22" s="290" t="s">
        <v>16</v>
      </c>
      <c r="W22" s="290">
        <v>135584</v>
      </c>
    </row>
    <row r="23" spans="1:23" x14ac:dyDescent="0.2">
      <c r="A23" s="290" t="s">
        <v>696</v>
      </c>
      <c r="B23" s="290" t="s">
        <v>645</v>
      </c>
      <c r="C23" s="290" t="s">
        <v>16</v>
      </c>
      <c r="D23" s="290" t="s">
        <v>16</v>
      </c>
      <c r="E23" s="290" t="s">
        <v>16</v>
      </c>
      <c r="F23" s="290" t="s">
        <v>16</v>
      </c>
      <c r="G23" s="290" t="s">
        <v>16</v>
      </c>
      <c r="H23" s="290" t="s">
        <v>16</v>
      </c>
      <c r="I23" s="290" t="s">
        <v>16</v>
      </c>
      <c r="J23" s="290" t="s">
        <v>16</v>
      </c>
      <c r="K23" s="290" t="s">
        <v>16</v>
      </c>
      <c r="L23" s="290" t="s">
        <v>16</v>
      </c>
      <c r="M23" s="290" t="s">
        <v>16</v>
      </c>
      <c r="N23" s="290" t="s">
        <v>16</v>
      </c>
      <c r="O23" s="290" t="s">
        <v>16</v>
      </c>
      <c r="P23" s="290" t="s">
        <v>16</v>
      </c>
      <c r="Q23" s="290" t="s">
        <v>16</v>
      </c>
      <c r="R23" s="290" t="s">
        <v>16</v>
      </c>
      <c r="S23" s="290" t="s">
        <v>16</v>
      </c>
      <c r="T23" s="290">
        <v>17328</v>
      </c>
      <c r="U23" s="290" t="s">
        <v>16</v>
      </c>
      <c r="V23" s="290" t="s">
        <v>16</v>
      </c>
      <c r="W23" s="290">
        <v>22271</v>
      </c>
    </row>
    <row r="24" spans="1:23" x14ac:dyDescent="0.2">
      <c r="A24" s="290" t="s">
        <v>695</v>
      </c>
      <c r="B24" s="290" t="s">
        <v>645</v>
      </c>
      <c r="C24" s="290" t="s">
        <v>16</v>
      </c>
      <c r="D24" s="290" t="s">
        <v>16</v>
      </c>
      <c r="E24" s="290">
        <v>32203</v>
      </c>
      <c r="F24" s="290" t="s">
        <v>16</v>
      </c>
      <c r="G24" s="290" t="s">
        <v>16</v>
      </c>
      <c r="H24" s="290" t="s">
        <v>16</v>
      </c>
      <c r="I24" s="290" t="s">
        <v>16</v>
      </c>
      <c r="J24" s="290" t="s">
        <v>16</v>
      </c>
      <c r="K24" s="290" t="s">
        <v>16</v>
      </c>
      <c r="L24" s="290" t="s">
        <v>16</v>
      </c>
      <c r="M24" s="290" t="s">
        <v>16</v>
      </c>
      <c r="N24" s="290" t="s">
        <v>16</v>
      </c>
      <c r="O24" s="290" t="s">
        <v>16</v>
      </c>
      <c r="P24" s="290" t="s">
        <v>16</v>
      </c>
      <c r="Q24" s="290" t="s">
        <v>16</v>
      </c>
      <c r="R24" s="290" t="s">
        <v>16</v>
      </c>
      <c r="S24" s="290" t="s">
        <v>16</v>
      </c>
      <c r="T24" s="290" t="s">
        <v>16</v>
      </c>
      <c r="U24" s="290" t="s">
        <v>16</v>
      </c>
      <c r="V24" s="290" t="s">
        <v>16</v>
      </c>
      <c r="W24" s="290" t="s">
        <v>16</v>
      </c>
    </row>
    <row r="25" spans="1:23" x14ac:dyDescent="0.2">
      <c r="A25" s="290" t="s">
        <v>694</v>
      </c>
      <c r="B25" s="290" t="s">
        <v>645</v>
      </c>
      <c r="C25" s="290" t="s">
        <v>16</v>
      </c>
      <c r="D25" s="290" t="s">
        <v>16</v>
      </c>
      <c r="E25" s="290" t="s">
        <v>16</v>
      </c>
      <c r="F25" s="290">
        <v>31472</v>
      </c>
      <c r="G25" s="290">
        <v>47839</v>
      </c>
      <c r="H25" s="290" t="s">
        <v>16</v>
      </c>
      <c r="I25" s="290" t="s">
        <v>16</v>
      </c>
      <c r="J25" s="290">
        <v>217309</v>
      </c>
      <c r="K25" s="290" t="s">
        <v>16</v>
      </c>
      <c r="L25" s="290" t="s">
        <v>16</v>
      </c>
      <c r="M25" s="290" t="s">
        <v>16</v>
      </c>
      <c r="N25" s="290" t="s">
        <v>16</v>
      </c>
      <c r="O25" s="290" t="s">
        <v>16</v>
      </c>
      <c r="P25" s="290" t="s">
        <v>16</v>
      </c>
      <c r="Q25" s="290" t="s">
        <v>16</v>
      </c>
      <c r="R25" s="290" t="s">
        <v>16</v>
      </c>
      <c r="S25" s="290" t="s">
        <v>16</v>
      </c>
      <c r="T25" s="290" t="s">
        <v>16</v>
      </c>
      <c r="U25" s="290">
        <v>23041</v>
      </c>
      <c r="V25" s="290" t="s">
        <v>16</v>
      </c>
      <c r="W25" s="290" t="s">
        <v>16</v>
      </c>
    </row>
    <row r="26" spans="1:23" x14ac:dyDescent="0.2">
      <c r="A26" s="290" t="s">
        <v>693</v>
      </c>
      <c r="B26" s="290" t="s">
        <v>645</v>
      </c>
      <c r="C26" s="290" t="s">
        <v>16</v>
      </c>
      <c r="D26" s="290" t="s">
        <v>16</v>
      </c>
      <c r="E26" s="290">
        <v>77896</v>
      </c>
      <c r="F26" s="290" t="s">
        <v>16</v>
      </c>
      <c r="G26" s="290" t="s">
        <v>16</v>
      </c>
      <c r="H26" s="290">
        <v>375404</v>
      </c>
      <c r="I26" s="290">
        <v>79841</v>
      </c>
      <c r="J26" s="290" t="s">
        <v>16</v>
      </c>
      <c r="K26" s="290" t="s">
        <v>16</v>
      </c>
      <c r="L26" s="290" t="s">
        <v>16</v>
      </c>
      <c r="M26" s="290" t="s">
        <v>16</v>
      </c>
      <c r="N26" s="290" t="s">
        <v>16</v>
      </c>
      <c r="O26" s="290" t="s">
        <v>16</v>
      </c>
      <c r="P26" s="290" t="s">
        <v>16</v>
      </c>
      <c r="Q26" s="290" t="s">
        <v>16</v>
      </c>
      <c r="R26" s="290" t="s">
        <v>16</v>
      </c>
      <c r="S26" s="290" t="s">
        <v>16</v>
      </c>
      <c r="T26" s="290" t="s">
        <v>16</v>
      </c>
      <c r="U26" s="290" t="s">
        <v>16</v>
      </c>
      <c r="V26" s="290" t="s">
        <v>16</v>
      </c>
      <c r="W26" s="290" t="s">
        <v>16</v>
      </c>
    </row>
    <row r="27" spans="1:23" x14ac:dyDescent="0.2">
      <c r="A27" s="290" t="s">
        <v>692</v>
      </c>
      <c r="B27" s="290" t="s">
        <v>645</v>
      </c>
      <c r="C27" s="290" t="s">
        <v>16</v>
      </c>
      <c r="D27" s="290" t="s">
        <v>16</v>
      </c>
      <c r="E27" s="290" t="s">
        <v>16</v>
      </c>
      <c r="F27" s="290" t="s">
        <v>16</v>
      </c>
      <c r="G27" s="290" t="s">
        <v>16</v>
      </c>
      <c r="H27" s="290" t="s">
        <v>16</v>
      </c>
      <c r="I27" s="290" t="s">
        <v>16</v>
      </c>
      <c r="J27" s="290" t="s">
        <v>16</v>
      </c>
      <c r="K27" s="290" t="s">
        <v>16</v>
      </c>
      <c r="L27" s="290" t="s">
        <v>16</v>
      </c>
      <c r="M27" s="290" t="s">
        <v>16</v>
      </c>
      <c r="N27" s="290" t="s">
        <v>16</v>
      </c>
      <c r="O27" s="290">
        <v>119873</v>
      </c>
      <c r="P27" s="290" t="s">
        <v>16</v>
      </c>
      <c r="Q27" s="290" t="s">
        <v>16</v>
      </c>
      <c r="R27" s="290" t="s">
        <v>16</v>
      </c>
      <c r="S27" s="290" t="s">
        <v>16</v>
      </c>
      <c r="T27" s="290" t="s">
        <v>16</v>
      </c>
      <c r="U27" s="290" t="s">
        <v>16</v>
      </c>
      <c r="V27" s="290" t="s">
        <v>16</v>
      </c>
      <c r="W27" s="290" t="s">
        <v>16</v>
      </c>
    </row>
    <row r="28" spans="1:23" x14ac:dyDescent="0.2">
      <c r="A28" s="290" t="s">
        <v>691</v>
      </c>
      <c r="B28" s="290" t="s">
        <v>645</v>
      </c>
      <c r="C28" s="290" t="s">
        <v>16</v>
      </c>
      <c r="D28" s="290" t="s">
        <v>16</v>
      </c>
      <c r="E28" s="290" t="s">
        <v>16</v>
      </c>
      <c r="F28" s="290" t="s">
        <v>16</v>
      </c>
      <c r="G28" s="290" t="s">
        <v>16</v>
      </c>
      <c r="H28" s="290" t="s">
        <v>16</v>
      </c>
      <c r="I28" s="290" t="s">
        <v>16</v>
      </c>
      <c r="J28" s="290" t="s">
        <v>16</v>
      </c>
      <c r="K28" s="290" t="s">
        <v>16</v>
      </c>
      <c r="L28" s="290" t="s">
        <v>16</v>
      </c>
      <c r="M28" s="290" t="s">
        <v>16</v>
      </c>
      <c r="N28" s="290">
        <v>51135</v>
      </c>
      <c r="O28" s="290">
        <v>179577</v>
      </c>
      <c r="P28" s="290">
        <v>20</v>
      </c>
      <c r="Q28" s="290" t="s">
        <v>16</v>
      </c>
      <c r="R28" s="290" t="s">
        <v>16</v>
      </c>
      <c r="S28" s="290" t="s">
        <v>16</v>
      </c>
      <c r="T28" s="290">
        <v>42578</v>
      </c>
      <c r="U28" s="290">
        <v>328421</v>
      </c>
      <c r="V28" s="290">
        <v>1577153</v>
      </c>
      <c r="W28" s="290">
        <v>876368</v>
      </c>
    </row>
    <row r="29" spans="1:23" x14ac:dyDescent="0.2">
      <c r="A29" s="290" t="s">
        <v>690</v>
      </c>
      <c r="B29" s="290" t="s">
        <v>645</v>
      </c>
      <c r="C29" s="290" t="s">
        <v>16</v>
      </c>
      <c r="D29" s="290" t="s">
        <v>16</v>
      </c>
      <c r="E29" s="290" t="s">
        <v>16</v>
      </c>
      <c r="F29" s="290">
        <v>18</v>
      </c>
      <c r="G29" s="290" t="s">
        <v>16</v>
      </c>
      <c r="H29" s="290">
        <v>14</v>
      </c>
      <c r="I29" s="290" t="s">
        <v>16</v>
      </c>
      <c r="J29" s="290" t="s">
        <v>16</v>
      </c>
      <c r="K29" s="290" t="s">
        <v>16</v>
      </c>
      <c r="L29" s="290">
        <v>35</v>
      </c>
      <c r="M29" s="290">
        <v>20</v>
      </c>
      <c r="N29" s="290">
        <v>282</v>
      </c>
      <c r="O29" s="290">
        <v>23</v>
      </c>
      <c r="P29" s="290">
        <v>21</v>
      </c>
      <c r="Q29" s="290" t="s">
        <v>16</v>
      </c>
      <c r="R29" s="290" t="s">
        <v>16</v>
      </c>
      <c r="S29" s="290" t="s">
        <v>16</v>
      </c>
      <c r="T29" s="290" t="s">
        <v>16</v>
      </c>
      <c r="U29" s="290" t="s">
        <v>16</v>
      </c>
      <c r="V29" s="290">
        <v>36068</v>
      </c>
      <c r="W29" s="290" t="s">
        <v>16</v>
      </c>
    </row>
    <row r="30" spans="1:23" x14ac:dyDescent="0.2">
      <c r="A30" s="290" t="s">
        <v>689</v>
      </c>
      <c r="B30" s="290" t="s">
        <v>645</v>
      </c>
      <c r="C30" s="290" t="s">
        <v>16</v>
      </c>
      <c r="D30" s="290" t="s">
        <v>16</v>
      </c>
      <c r="E30" s="290" t="s">
        <v>16</v>
      </c>
      <c r="F30" s="290" t="s">
        <v>16</v>
      </c>
      <c r="G30" s="290" t="s">
        <v>16</v>
      </c>
      <c r="H30" s="290" t="s">
        <v>16</v>
      </c>
      <c r="I30" s="290" t="s">
        <v>16</v>
      </c>
      <c r="J30" s="290" t="s">
        <v>16</v>
      </c>
      <c r="K30" s="290" t="s">
        <v>16</v>
      </c>
      <c r="L30" s="290" t="s">
        <v>16</v>
      </c>
      <c r="M30" s="290" t="s">
        <v>16</v>
      </c>
      <c r="N30" s="290" t="s">
        <v>16</v>
      </c>
      <c r="O30" s="290" t="s">
        <v>16</v>
      </c>
      <c r="P30" s="290" t="s">
        <v>16</v>
      </c>
      <c r="Q30" s="290" t="s">
        <v>16</v>
      </c>
      <c r="R30" s="290" t="s">
        <v>16</v>
      </c>
      <c r="S30" s="290">
        <v>511951</v>
      </c>
      <c r="T30" s="290">
        <v>977527</v>
      </c>
      <c r="U30" s="290">
        <v>1063519</v>
      </c>
      <c r="V30" s="290" t="s">
        <v>16</v>
      </c>
      <c r="W30" s="290">
        <v>368490</v>
      </c>
    </row>
    <row r="31" spans="1:23" x14ac:dyDescent="0.2">
      <c r="A31" s="290" t="s">
        <v>688</v>
      </c>
      <c r="B31" s="290" t="s">
        <v>645</v>
      </c>
      <c r="C31" s="290" t="s">
        <v>16</v>
      </c>
      <c r="D31" s="290" t="s">
        <v>16</v>
      </c>
      <c r="E31" s="290">
        <v>72422</v>
      </c>
      <c r="F31" s="290" t="s">
        <v>16</v>
      </c>
      <c r="G31" s="290" t="s">
        <v>16</v>
      </c>
      <c r="H31" s="290">
        <v>397225</v>
      </c>
      <c r="I31" s="290">
        <v>194083</v>
      </c>
      <c r="J31" s="290">
        <v>77507</v>
      </c>
      <c r="K31" s="290">
        <v>78109</v>
      </c>
      <c r="L31" s="290">
        <v>182929</v>
      </c>
      <c r="M31" s="290" t="s">
        <v>16</v>
      </c>
      <c r="N31" s="290" t="s">
        <v>16</v>
      </c>
      <c r="O31" s="290" t="s">
        <v>16</v>
      </c>
      <c r="P31" s="290" t="s">
        <v>16</v>
      </c>
      <c r="Q31" s="290" t="s">
        <v>16</v>
      </c>
      <c r="R31" s="290" t="s">
        <v>16</v>
      </c>
      <c r="S31" s="290" t="s">
        <v>16</v>
      </c>
      <c r="T31" s="290">
        <v>14330</v>
      </c>
      <c r="U31" s="290" t="s">
        <v>16</v>
      </c>
      <c r="V31" s="290" t="s">
        <v>16</v>
      </c>
      <c r="W31" s="290" t="s">
        <v>16</v>
      </c>
    </row>
    <row r="32" spans="1:23" x14ac:dyDescent="0.2">
      <c r="A32" s="290" t="s">
        <v>687</v>
      </c>
      <c r="B32" s="290" t="s">
        <v>645</v>
      </c>
      <c r="C32" s="290">
        <v>86048</v>
      </c>
      <c r="D32" s="290" t="s">
        <v>16</v>
      </c>
      <c r="E32" s="290" t="s">
        <v>16</v>
      </c>
      <c r="F32" s="290">
        <v>9</v>
      </c>
      <c r="G32" s="290">
        <v>7</v>
      </c>
      <c r="H32" s="290">
        <v>213955</v>
      </c>
      <c r="I32" s="290" t="s">
        <v>16</v>
      </c>
      <c r="J32" s="290">
        <v>197936</v>
      </c>
      <c r="K32" s="290" t="s">
        <v>16</v>
      </c>
      <c r="L32" s="290">
        <v>240607</v>
      </c>
      <c r="M32" s="290">
        <v>168085</v>
      </c>
      <c r="N32" s="290" t="s">
        <v>16</v>
      </c>
      <c r="O32" s="290">
        <v>9</v>
      </c>
      <c r="P32" s="290">
        <v>9</v>
      </c>
      <c r="Q32" s="290">
        <v>9</v>
      </c>
      <c r="R32" s="290" t="s">
        <v>16</v>
      </c>
      <c r="S32" s="290">
        <v>8</v>
      </c>
      <c r="T32" s="290" t="s">
        <v>16</v>
      </c>
      <c r="U32" s="290" t="s">
        <v>16</v>
      </c>
      <c r="V32" s="290" t="s">
        <v>16</v>
      </c>
      <c r="W32" s="290" t="s">
        <v>16</v>
      </c>
    </row>
    <row r="33" spans="1:23" x14ac:dyDescent="0.2">
      <c r="A33" s="290" t="s">
        <v>686</v>
      </c>
      <c r="B33" s="290" t="s">
        <v>645</v>
      </c>
      <c r="C33" s="290">
        <v>912991</v>
      </c>
      <c r="D33" s="290">
        <v>560229</v>
      </c>
      <c r="E33" s="290">
        <v>390930</v>
      </c>
      <c r="F33" s="290">
        <v>235834</v>
      </c>
      <c r="G33" s="290">
        <v>79270</v>
      </c>
      <c r="H33" s="290">
        <v>626937</v>
      </c>
      <c r="I33" s="290">
        <v>1033703</v>
      </c>
      <c r="J33" s="290">
        <v>470413</v>
      </c>
      <c r="K33" s="290">
        <v>172087</v>
      </c>
      <c r="L33" s="290">
        <v>79179</v>
      </c>
      <c r="M33" s="290">
        <v>322685</v>
      </c>
      <c r="N33" s="290">
        <v>258017</v>
      </c>
      <c r="O33" s="290">
        <v>226854</v>
      </c>
      <c r="P33" s="290">
        <v>172545</v>
      </c>
      <c r="Q33" s="290" t="s">
        <v>16</v>
      </c>
      <c r="R33" s="290">
        <v>346991</v>
      </c>
      <c r="S33" s="290">
        <v>165988</v>
      </c>
      <c r="T33" s="290">
        <v>266384</v>
      </c>
      <c r="U33" s="290">
        <v>518187</v>
      </c>
      <c r="V33" s="290" t="s">
        <v>16</v>
      </c>
      <c r="W33" s="290" t="s">
        <v>16</v>
      </c>
    </row>
    <row r="34" spans="1:23" x14ac:dyDescent="0.2">
      <c r="A34" s="290" t="s">
        <v>685</v>
      </c>
      <c r="B34" s="290" t="s">
        <v>645</v>
      </c>
      <c r="C34" s="290" t="s">
        <v>16</v>
      </c>
      <c r="D34" s="290" t="s">
        <v>16</v>
      </c>
      <c r="E34" s="290" t="s">
        <v>16</v>
      </c>
      <c r="F34" s="290" t="s">
        <v>16</v>
      </c>
      <c r="G34" s="290" t="s">
        <v>16</v>
      </c>
      <c r="H34" s="290" t="s">
        <v>16</v>
      </c>
      <c r="I34" s="290" t="s">
        <v>16</v>
      </c>
      <c r="J34" s="290" t="s">
        <v>16</v>
      </c>
      <c r="K34" s="290" t="s">
        <v>16</v>
      </c>
      <c r="L34" s="290" t="s">
        <v>16</v>
      </c>
      <c r="M34" s="290" t="s">
        <v>16</v>
      </c>
      <c r="N34" s="290" t="s">
        <v>16</v>
      </c>
      <c r="O34" s="290" t="s">
        <v>16</v>
      </c>
      <c r="P34" s="290" t="s">
        <v>16</v>
      </c>
      <c r="Q34" s="290" t="s">
        <v>16</v>
      </c>
      <c r="R34" s="290" t="s">
        <v>16</v>
      </c>
      <c r="S34" s="290" t="s">
        <v>16</v>
      </c>
      <c r="T34" s="290">
        <v>48502</v>
      </c>
      <c r="U34" s="290">
        <v>22460</v>
      </c>
      <c r="V34" s="290" t="s">
        <v>16</v>
      </c>
      <c r="W34" s="290" t="s">
        <v>16</v>
      </c>
    </row>
    <row r="35" spans="1:23" x14ac:dyDescent="0.2">
      <c r="A35" s="290" t="s">
        <v>684</v>
      </c>
      <c r="B35" s="290" t="s">
        <v>645</v>
      </c>
      <c r="C35" s="290" t="s">
        <v>16</v>
      </c>
      <c r="D35" s="290" t="s">
        <v>16</v>
      </c>
      <c r="E35" s="290" t="s">
        <v>16</v>
      </c>
      <c r="F35" s="290" t="s">
        <v>16</v>
      </c>
      <c r="G35" s="290">
        <v>17</v>
      </c>
      <c r="H35" s="290" t="s">
        <v>16</v>
      </c>
      <c r="I35" s="290" t="s">
        <v>16</v>
      </c>
      <c r="J35" s="290" t="s">
        <v>16</v>
      </c>
      <c r="K35" s="290" t="s">
        <v>16</v>
      </c>
      <c r="L35" s="290" t="s">
        <v>16</v>
      </c>
      <c r="M35" s="290" t="s">
        <v>16</v>
      </c>
      <c r="N35" s="290" t="s">
        <v>16</v>
      </c>
      <c r="O35" s="290" t="s">
        <v>16</v>
      </c>
      <c r="P35" s="290" t="s">
        <v>16</v>
      </c>
      <c r="Q35" s="290" t="s">
        <v>16</v>
      </c>
      <c r="R35" s="290" t="s">
        <v>16</v>
      </c>
      <c r="S35" s="290" t="s">
        <v>16</v>
      </c>
      <c r="T35" s="290" t="s">
        <v>16</v>
      </c>
      <c r="U35" s="290" t="s">
        <v>16</v>
      </c>
      <c r="V35" s="290" t="s">
        <v>16</v>
      </c>
      <c r="W35" s="290" t="s">
        <v>16</v>
      </c>
    </row>
    <row r="36" spans="1:23" x14ac:dyDescent="0.2">
      <c r="A36" s="290" t="s">
        <v>683</v>
      </c>
      <c r="B36" s="290" t="s">
        <v>645</v>
      </c>
      <c r="C36" s="290" t="s">
        <v>16</v>
      </c>
      <c r="D36" s="290" t="s">
        <v>16</v>
      </c>
      <c r="E36" s="290" t="s">
        <v>16</v>
      </c>
      <c r="F36" s="290">
        <v>247396</v>
      </c>
      <c r="G36" s="290">
        <v>239109</v>
      </c>
      <c r="H36" s="290">
        <v>77809</v>
      </c>
      <c r="I36" s="290" t="s">
        <v>16</v>
      </c>
      <c r="J36" s="290" t="s">
        <v>16</v>
      </c>
      <c r="K36" s="290" t="s">
        <v>16</v>
      </c>
      <c r="L36" s="290" t="s">
        <v>16</v>
      </c>
      <c r="M36" s="290" t="s">
        <v>16</v>
      </c>
      <c r="N36" s="290">
        <v>555491</v>
      </c>
      <c r="O36" s="290">
        <v>263286</v>
      </c>
      <c r="P36" s="290">
        <v>912598</v>
      </c>
      <c r="Q36" s="290">
        <v>2432778</v>
      </c>
      <c r="R36" s="290">
        <v>2547715</v>
      </c>
      <c r="S36" s="290">
        <v>6634701</v>
      </c>
      <c r="T36" s="290">
        <v>7940647</v>
      </c>
      <c r="U36" s="290">
        <v>7193700</v>
      </c>
      <c r="V36" s="290">
        <v>6838111</v>
      </c>
      <c r="W36" s="290">
        <v>9268481</v>
      </c>
    </row>
    <row r="37" spans="1:23" x14ac:dyDescent="0.2">
      <c r="A37" s="290" t="s">
        <v>682</v>
      </c>
      <c r="B37" s="290" t="s">
        <v>645</v>
      </c>
      <c r="C37" s="290">
        <v>366163</v>
      </c>
      <c r="D37" s="290">
        <v>669728</v>
      </c>
      <c r="E37" s="290">
        <v>238216</v>
      </c>
      <c r="F37" s="290" t="s">
        <v>16</v>
      </c>
      <c r="G37" s="290" t="s">
        <v>16</v>
      </c>
      <c r="H37" s="290" t="s">
        <v>16</v>
      </c>
      <c r="I37" s="290">
        <v>80992</v>
      </c>
      <c r="J37" s="290">
        <v>81623</v>
      </c>
      <c r="K37" s="290" t="s">
        <v>16</v>
      </c>
      <c r="L37" s="290" t="s">
        <v>16</v>
      </c>
      <c r="M37" s="290" t="s">
        <v>16</v>
      </c>
      <c r="N37" s="290" t="s">
        <v>16</v>
      </c>
      <c r="O37" s="290" t="s">
        <v>16</v>
      </c>
      <c r="P37" s="290" t="s">
        <v>16</v>
      </c>
      <c r="Q37" s="290" t="s">
        <v>16</v>
      </c>
      <c r="R37" s="290" t="s">
        <v>16</v>
      </c>
      <c r="S37" s="290" t="s">
        <v>16</v>
      </c>
      <c r="T37" s="290" t="s">
        <v>16</v>
      </c>
      <c r="U37" s="290" t="s">
        <v>16</v>
      </c>
      <c r="V37" s="290" t="s">
        <v>16</v>
      </c>
      <c r="W37" s="290" t="s">
        <v>16</v>
      </c>
    </row>
    <row r="38" spans="1:23" x14ac:dyDescent="0.2">
      <c r="A38" s="290" t="s">
        <v>681</v>
      </c>
      <c r="B38" s="290" t="s">
        <v>645</v>
      </c>
      <c r="C38" s="290" t="s">
        <v>16</v>
      </c>
      <c r="D38" s="290">
        <v>130693</v>
      </c>
      <c r="E38" s="290" t="s">
        <v>16</v>
      </c>
      <c r="F38" s="290" t="s">
        <v>16</v>
      </c>
      <c r="G38" s="290" t="s">
        <v>16</v>
      </c>
      <c r="H38" s="290" t="s">
        <v>16</v>
      </c>
      <c r="I38" s="290" t="s">
        <v>16</v>
      </c>
      <c r="J38" s="290" t="s">
        <v>16</v>
      </c>
      <c r="K38" s="290" t="s">
        <v>16</v>
      </c>
      <c r="L38" s="290" t="s">
        <v>16</v>
      </c>
      <c r="M38" s="290" t="s">
        <v>16</v>
      </c>
      <c r="N38" s="290" t="s">
        <v>16</v>
      </c>
      <c r="O38" s="290" t="s">
        <v>16</v>
      </c>
      <c r="P38" s="290" t="s">
        <v>16</v>
      </c>
      <c r="Q38" s="290" t="s">
        <v>16</v>
      </c>
      <c r="R38" s="290" t="s">
        <v>16</v>
      </c>
      <c r="S38" s="290" t="s">
        <v>16</v>
      </c>
      <c r="T38" s="290" t="s">
        <v>16</v>
      </c>
      <c r="U38" s="290" t="s">
        <v>16</v>
      </c>
      <c r="V38" s="290" t="s">
        <v>16</v>
      </c>
      <c r="W38" s="290">
        <v>440</v>
      </c>
    </row>
    <row r="39" spans="1:23" x14ac:dyDescent="0.2">
      <c r="A39" s="290" t="s">
        <v>680</v>
      </c>
      <c r="B39" s="290" t="s">
        <v>645</v>
      </c>
      <c r="C39" s="290">
        <v>72718</v>
      </c>
      <c r="D39" s="290" t="s">
        <v>16</v>
      </c>
      <c r="E39" s="290" t="s">
        <v>16</v>
      </c>
      <c r="F39" s="290" t="s">
        <v>16</v>
      </c>
      <c r="G39" s="290" t="s">
        <v>16</v>
      </c>
      <c r="H39" s="290" t="s">
        <v>16</v>
      </c>
      <c r="I39" s="290" t="s">
        <v>16</v>
      </c>
      <c r="J39" s="290">
        <v>48587</v>
      </c>
      <c r="K39" s="290">
        <v>75249</v>
      </c>
      <c r="L39" s="290">
        <v>68210</v>
      </c>
      <c r="M39" s="290" t="s">
        <v>16</v>
      </c>
      <c r="N39" s="290" t="s">
        <v>16</v>
      </c>
      <c r="O39" s="290" t="s">
        <v>16</v>
      </c>
      <c r="P39" s="290" t="s">
        <v>16</v>
      </c>
      <c r="Q39" s="290" t="s">
        <v>16</v>
      </c>
      <c r="R39" s="290" t="s">
        <v>16</v>
      </c>
      <c r="S39" s="290" t="s">
        <v>16</v>
      </c>
      <c r="T39" s="290" t="s">
        <v>16</v>
      </c>
      <c r="U39" s="290" t="s">
        <v>16</v>
      </c>
      <c r="V39" s="290" t="s">
        <v>16</v>
      </c>
      <c r="W39" s="290" t="s">
        <v>16</v>
      </c>
    </row>
    <row r="40" spans="1:23" x14ac:dyDescent="0.2">
      <c r="A40" s="290" t="s">
        <v>679</v>
      </c>
      <c r="B40" s="290" t="s">
        <v>645</v>
      </c>
      <c r="C40" s="290" t="s">
        <v>16</v>
      </c>
      <c r="D40" s="290">
        <v>20956</v>
      </c>
      <c r="E40" s="290" t="s">
        <v>16</v>
      </c>
      <c r="F40" s="290">
        <v>22412</v>
      </c>
      <c r="G40" s="290">
        <v>74495</v>
      </c>
      <c r="H40" s="290" t="s">
        <v>16</v>
      </c>
      <c r="I40" s="290">
        <v>30251</v>
      </c>
      <c r="J40" s="290">
        <v>24251</v>
      </c>
      <c r="K40" s="290">
        <v>36373</v>
      </c>
      <c r="L40" s="290" t="s">
        <v>16</v>
      </c>
      <c r="M40" s="290" t="s">
        <v>16</v>
      </c>
      <c r="N40" s="290" t="s">
        <v>16</v>
      </c>
      <c r="O40" s="290" t="s">
        <v>16</v>
      </c>
      <c r="P40" s="290" t="s">
        <v>16</v>
      </c>
      <c r="Q40" s="290" t="s">
        <v>16</v>
      </c>
      <c r="R40" s="290">
        <v>36434</v>
      </c>
      <c r="S40" s="290" t="s">
        <v>16</v>
      </c>
      <c r="T40" s="290" t="s">
        <v>16</v>
      </c>
      <c r="U40" s="290" t="s">
        <v>16</v>
      </c>
      <c r="V40" s="290" t="s">
        <v>16</v>
      </c>
      <c r="W40" s="290" t="s">
        <v>16</v>
      </c>
    </row>
    <row r="41" spans="1:23" x14ac:dyDescent="0.2">
      <c r="A41" s="290" t="s">
        <v>678</v>
      </c>
      <c r="B41" s="290" t="s">
        <v>645</v>
      </c>
      <c r="C41" s="290" t="s">
        <v>16</v>
      </c>
      <c r="D41" s="290" t="s">
        <v>16</v>
      </c>
      <c r="E41" s="290" t="s">
        <v>16</v>
      </c>
      <c r="F41" s="290">
        <v>1162940</v>
      </c>
      <c r="G41" s="290">
        <v>257514</v>
      </c>
      <c r="H41" s="290" t="s">
        <v>16</v>
      </c>
      <c r="I41" s="290" t="s">
        <v>16</v>
      </c>
      <c r="J41" s="290">
        <v>18389</v>
      </c>
      <c r="K41" s="290">
        <v>132304</v>
      </c>
      <c r="L41" s="290" t="s">
        <v>16</v>
      </c>
      <c r="M41" s="290">
        <v>16503</v>
      </c>
      <c r="N41" s="290" t="s">
        <v>16</v>
      </c>
      <c r="O41" s="290" t="s">
        <v>16</v>
      </c>
      <c r="P41" s="290">
        <v>42892</v>
      </c>
      <c r="Q41" s="290">
        <v>72</v>
      </c>
      <c r="R41" s="290" t="s">
        <v>16</v>
      </c>
      <c r="S41" s="290" t="s">
        <v>16</v>
      </c>
      <c r="T41" s="290" t="s">
        <v>16</v>
      </c>
      <c r="U41" s="290" t="s">
        <v>16</v>
      </c>
      <c r="V41" s="290">
        <v>118239</v>
      </c>
      <c r="W41" s="290" t="s">
        <v>16</v>
      </c>
    </row>
    <row r="42" spans="1:23" x14ac:dyDescent="0.2">
      <c r="A42" s="290" t="s">
        <v>677</v>
      </c>
      <c r="B42" s="290" t="s">
        <v>645</v>
      </c>
      <c r="C42" s="290" t="s">
        <v>16</v>
      </c>
      <c r="D42" s="290" t="s">
        <v>16</v>
      </c>
      <c r="E42" s="290" t="s">
        <v>16</v>
      </c>
      <c r="F42" s="290" t="s">
        <v>16</v>
      </c>
      <c r="G42" s="290" t="s">
        <v>16</v>
      </c>
      <c r="H42" s="290" t="s">
        <v>16</v>
      </c>
      <c r="I42" s="290" t="s">
        <v>16</v>
      </c>
      <c r="J42" s="290" t="s">
        <v>16</v>
      </c>
      <c r="K42" s="290" t="s">
        <v>16</v>
      </c>
      <c r="L42" s="290">
        <v>443</v>
      </c>
      <c r="M42" s="290" t="s">
        <v>16</v>
      </c>
      <c r="N42" s="290" t="s">
        <v>16</v>
      </c>
      <c r="O42" s="290" t="s">
        <v>16</v>
      </c>
      <c r="P42" s="290" t="s">
        <v>16</v>
      </c>
      <c r="Q42" s="290" t="s">
        <v>16</v>
      </c>
      <c r="R42" s="290" t="s">
        <v>16</v>
      </c>
      <c r="S42" s="290" t="s">
        <v>16</v>
      </c>
      <c r="T42" s="290" t="s">
        <v>16</v>
      </c>
      <c r="U42" s="290" t="s">
        <v>16</v>
      </c>
      <c r="V42" s="290" t="s">
        <v>16</v>
      </c>
      <c r="W42" s="290" t="s">
        <v>16</v>
      </c>
    </row>
    <row r="43" spans="1:23" x14ac:dyDescent="0.2">
      <c r="A43" s="290" t="s">
        <v>676</v>
      </c>
      <c r="B43" s="290" t="s">
        <v>645</v>
      </c>
      <c r="C43" s="290" t="s">
        <v>16</v>
      </c>
      <c r="D43" s="290" t="s">
        <v>16</v>
      </c>
      <c r="E43" s="290" t="s">
        <v>16</v>
      </c>
      <c r="F43" s="290" t="s">
        <v>16</v>
      </c>
      <c r="G43" s="290" t="s">
        <v>16</v>
      </c>
      <c r="H43" s="290" t="s">
        <v>16</v>
      </c>
      <c r="I43" s="290" t="s">
        <v>16</v>
      </c>
      <c r="J43" s="290" t="s">
        <v>16</v>
      </c>
      <c r="K43" s="290" t="s">
        <v>16</v>
      </c>
      <c r="L43" s="290" t="s">
        <v>16</v>
      </c>
      <c r="M43" s="290" t="s">
        <v>16</v>
      </c>
      <c r="N43" s="290" t="s">
        <v>16</v>
      </c>
      <c r="O43" s="290" t="s">
        <v>16</v>
      </c>
      <c r="P43" s="290" t="s">
        <v>16</v>
      </c>
      <c r="Q43" s="290" t="s">
        <v>16</v>
      </c>
      <c r="R43" s="290" t="s">
        <v>16</v>
      </c>
      <c r="S43" s="290" t="s">
        <v>16</v>
      </c>
      <c r="T43" s="290" t="s">
        <v>16</v>
      </c>
      <c r="U43" s="290" t="s">
        <v>16</v>
      </c>
      <c r="V43" s="290" t="s">
        <v>16</v>
      </c>
      <c r="W43" s="290">
        <v>162384</v>
      </c>
    </row>
    <row r="44" spans="1:23" x14ac:dyDescent="0.2">
      <c r="A44" s="290" t="s">
        <v>675</v>
      </c>
      <c r="B44" s="290" t="s">
        <v>645</v>
      </c>
      <c r="C44" s="290" t="s">
        <v>16</v>
      </c>
      <c r="D44" s="290" t="s">
        <v>16</v>
      </c>
      <c r="E44" s="290" t="s">
        <v>16</v>
      </c>
      <c r="F44" s="290" t="s">
        <v>16</v>
      </c>
      <c r="G44" s="290" t="s">
        <v>16</v>
      </c>
      <c r="H44" s="290" t="s">
        <v>16</v>
      </c>
      <c r="I44" s="290" t="s">
        <v>16</v>
      </c>
      <c r="J44" s="290" t="s">
        <v>16</v>
      </c>
      <c r="K44" s="290" t="s">
        <v>16</v>
      </c>
      <c r="L44" s="290" t="s">
        <v>16</v>
      </c>
      <c r="M44" s="290" t="s">
        <v>16</v>
      </c>
      <c r="N44" s="290">
        <v>36373</v>
      </c>
      <c r="O44" s="290" t="s">
        <v>16</v>
      </c>
      <c r="P44" s="290" t="s">
        <v>16</v>
      </c>
      <c r="Q44" s="290" t="s">
        <v>16</v>
      </c>
      <c r="R44" s="290" t="s">
        <v>16</v>
      </c>
      <c r="S44" s="290" t="s">
        <v>16</v>
      </c>
      <c r="T44" s="290" t="s">
        <v>16</v>
      </c>
      <c r="U44" s="290" t="s">
        <v>16</v>
      </c>
      <c r="V44" s="290" t="s">
        <v>16</v>
      </c>
      <c r="W44" s="290" t="s">
        <v>16</v>
      </c>
    </row>
    <row r="45" spans="1:23" x14ac:dyDescent="0.2">
      <c r="A45" s="290" t="s">
        <v>674</v>
      </c>
      <c r="B45" s="290" t="s">
        <v>645</v>
      </c>
      <c r="C45" s="290" t="s">
        <v>16</v>
      </c>
      <c r="D45" s="290" t="s">
        <v>16</v>
      </c>
      <c r="E45" s="290" t="s">
        <v>16</v>
      </c>
      <c r="F45" s="290">
        <v>55533</v>
      </c>
      <c r="G45" s="290">
        <v>305102</v>
      </c>
      <c r="H45" s="290">
        <v>123082</v>
      </c>
      <c r="I45" s="290" t="s">
        <v>16</v>
      </c>
      <c r="J45" s="290">
        <v>61053</v>
      </c>
      <c r="K45" s="290" t="s">
        <v>16</v>
      </c>
      <c r="L45" s="290" t="s">
        <v>16</v>
      </c>
      <c r="M45" s="290" t="s">
        <v>16</v>
      </c>
      <c r="N45" s="290" t="s">
        <v>16</v>
      </c>
      <c r="O45" s="290" t="s">
        <v>16</v>
      </c>
      <c r="P45" s="290" t="s">
        <v>16</v>
      </c>
      <c r="Q45" s="290" t="s">
        <v>16</v>
      </c>
      <c r="R45" s="290" t="s">
        <v>16</v>
      </c>
      <c r="S45" s="290" t="s">
        <v>16</v>
      </c>
      <c r="T45" s="290" t="s">
        <v>16</v>
      </c>
      <c r="U45" s="290" t="s">
        <v>16</v>
      </c>
      <c r="V45" s="290" t="s">
        <v>16</v>
      </c>
      <c r="W45" s="290" t="s">
        <v>16</v>
      </c>
    </row>
    <row r="46" spans="1:23" x14ac:dyDescent="0.2">
      <c r="A46" s="290" t="s">
        <v>673</v>
      </c>
      <c r="B46" s="290" t="s">
        <v>645</v>
      </c>
      <c r="C46" s="290" t="s">
        <v>16</v>
      </c>
      <c r="D46" s="290">
        <v>140166</v>
      </c>
      <c r="E46" s="290">
        <v>138678</v>
      </c>
      <c r="F46" s="290">
        <v>68337</v>
      </c>
      <c r="G46" s="290">
        <v>69116</v>
      </c>
      <c r="H46" s="290" t="s">
        <v>16</v>
      </c>
      <c r="I46" s="290">
        <v>139607</v>
      </c>
      <c r="J46" s="290">
        <v>139203</v>
      </c>
      <c r="K46" s="290">
        <v>200141</v>
      </c>
      <c r="L46" s="290">
        <v>70513</v>
      </c>
      <c r="M46" s="290" t="s">
        <v>16</v>
      </c>
      <c r="N46" s="290">
        <v>142050</v>
      </c>
      <c r="O46" s="290" t="s">
        <v>16</v>
      </c>
      <c r="P46" s="290" t="s">
        <v>16</v>
      </c>
      <c r="Q46" s="290" t="s">
        <v>16</v>
      </c>
      <c r="R46" s="290" t="s">
        <v>16</v>
      </c>
      <c r="S46" s="290">
        <v>58120</v>
      </c>
      <c r="T46" s="290">
        <v>41037</v>
      </c>
      <c r="U46" s="290" t="s">
        <v>16</v>
      </c>
      <c r="V46" s="290" t="s">
        <v>16</v>
      </c>
      <c r="W46" s="290" t="s">
        <v>16</v>
      </c>
    </row>
    <row r="47" spans="1:23" x14ac:dyDescent="0.2">
      <c r="A47" s="290" t="s">
        <v>672</v>
      </c>
      <c r="B47" s="290" t="s">
        <v>645</v>
      </c>
      <c r="C47" s="290">
        <v>492149</v>
      </c>
      <c r="D47" s="290">
        <v>139460</v>
      </c>
      <c r="E47" s="290">
        <v>322978</v>
      </c>
      <c r="F47" s="290">
        <v>79884</v>
      </c>
      <c r="G47" s="290">
        <v>813214</v>
      </c>
      <c r="H47" s="290">
        <v>496321</v>
      </c>
      <c r="I47" s="290">
        <v>1845722</v>
      </c>
      <c r="J47" s="290">
        <v>1444300</v>
      </c>
      <c r="K47" s="290">
        <v>1351700</v>
      </c>
      <c r="L47" s="290">
        <v>579069</v>
      </c>
      <c r="M47" s="290">
        <v>1417446</v>
      </c>
      <c r="N47" s="290">
        <v>1750000</v>
      </c>
      <c r="O47" s="290">
        <v>1623189</v>
      </c>
      <c r="P47" s="290">
        <v>1415943</v>
      </c>
      <c r="Q47" s="290">
        <v>1601359</v>
      </c>
      <c r="R47" s="290">
        <v>1793168</v>
      </c>
      <c r="S47" s="290">
        <v>1662771</v>
      </c>
      <c r="T47" s="290">
        <v>760931</v>
      </c>
      <c r="U47" s="290">
        <v>1253777</v>
      </c>
      <c r="V47" s="290">
        <v>494819</v>
      </c>
      <c r="W47" s="290">
        <v>777678</v>
      </c>
    </row>
    <row r="48" spans="1:23" x14ac:dyDescent="0.2">
      <c r="A48" s="290" t="s">
        <v>671</v>
      </c>
      <c r="B48" s="290" t="s">
        <v>645</v>
      </c>
      <c r="C48" s="290" t="s">
        <v>16</v>
      </c>
      <c r="D48" s="290" t="s">
        <v>16</v>
      </c>
      <c r="E48" s="290" t="s">
        <v>16</v>
      </c>
      <c r="F48" s="290" t="s">
        <v>16</v>
      </c>
      <c r="G48" s="290" t="s">
        <v>16</v>
      </c>
      <c r="H48" s="290" t="s">
        <v>16</v>
      </c>
      <c r="I48" s="290" t="s">
        <v>16</v>
      </c>
      <c r="J48" s="290" t="s">
        <v>16</v>
      </c>
      <c r="K48" s="290" t="s">
        <v>16</v>
      </c>
      <c r="L48" s="290" t="s">
        <v>16</v>
      </c>
      <c r="M48" s="290" t="s">
        <v>16</v>
      </c>
      <c r="N48" s="290" t="s">
        <v>16</v>
      </c>
      <c r="O48" s="290" t="s">
        <v>16</v>
      </c>
      <c r="P48" s="290" t="s">
        <v>16</v>
      </c>
      <c r="Q48" s="290" t="s">
        <v>16</v>
      </c>
      <c r="R48" s="290" t="s">
        <v>16</v>
      </c>
      <c r="S48" s="290" t="s">
        <v>16</v>
      </c>
      <c r="T48" s="290">
        <v>29</v>
      </c>
      <c r="U48" s="290" t="s">
        <v>16</v>
      </c>
      <c r="V48" s="290" t="s">
        <v>16</v>
      </c>
      <c r="W48" s="290" t="s">
        <v>16</v>
      </c>
    </row>
    <row r="49" spans="1:23" x14ac:dyDescent="0.2">
      <c r="A49" s="290" t="s">
        <v>670</v>
      </c>
      <c r="B49" s="290" t="s">
        <v>645</v>
      </c>
      <c r="C49" s="290">
        <v>11733</v>
      </c>
      <c r="D49" s="290">
        <v>12116</v>
      </c>
      <c r="E49" s="290" t="s">
        <v>16</v>
      </c>
      <c r="F49" s="290" t="s">
        <v>16</v>
      </c>
      <c r="G49" s="290" t="s">
        <v>16</v>
      </c>
      <c r="H49" s="290" t="s">
        <v>16</v>
      </c>
      <c r="I49" s="290" t="s">
        <v>16</v>
      </c>
      <c r="J49" s="290" t="s">
        <v>16</v>
      </c>
      <c r="K49" s="290" t="s">
        <v>16</v>
      </c>
      <c r="L49" s="290" t="s">
        <v>16</v>
      </c>
      <c r="M49" s="290" t="s">
        <v>16</v>
      </c>
      <c r="N49" s="290" t="s">
        <v>16</v>
      </c>
      <c r="O49" s="290" t="s">
        <v>16</v>
      </c>
      <c r="P49" s="290" t="s">
        <v>16</v>
      </c>
      <c r="Q49" s="290" t="s">
        <v>16</v>
      </c>
      <c r="R49" s="290" t="s">
        <v>16</v>
      </c>
      <c r="S49" s="290" t="s">
        <v>16</v>
      </c>
      <c r="T49" s="290" t="s">
        <v>16</v>
      </c>
      <c r="U49" s="290" t="s">
        <v>16</v>
      </c>
      <c r="V49" s="290" t="s">
        <v>16</v>
      </c>
      <c r="W49" s="290" t="s">
        <v>16</v>
      </c>
    </row>
    <row r="50" spans="1:23" x14ac:dyDescent="0.2">
      <c r="A50" s="290" t="s">
        <v>669</v>
      </c>
      <c r="B50" s="290" t="s">
        <v>645</v>
      </c>
      <c r="C50" s="290" t="s">
        <v>16</v>
      </c>
      <c r="D50" s="290" t="s">
        <v>16</v>
      </c>
      <c r="E50" s="290">
        <v>22</v>
      </c>
      <c r="F50" s="290" t="s">
        <v>16</v>
      </c>
      <c r="G50" s="290" t="s">
        <v>16</v>
      </c>
      <c r="H50" s="290" t="s">
        <v>16</v>
      </c>
      <c r="I50" s="290" t="s">
        <v>16</v>
      </c>
      <c r="J50" s="290" t="s">
        <v>16</v>
      </c>
      <c r="K50" s="290" t="s">
        <v>16</v>
      </c>
      <c r="L50" s="290" t="s">
        <v>16</v>
      </c>
      <c r="M50" s="290" t="s">
        <v>16</v>
      </c>
      <c r="N50" s="290" t="s">
        <v>16</v>
      </c>
      <c r="O50" s="290" t="s">
        <v>16</v>
      </c>
      <c r="P50" s="290" t="s">
        <v>16</v>
      </c>
      <c r="Q50" s="290" t="s">
        <v>16</v>
      </c>
      <c r="R50" s="290" t="s">
        <v>16</v>
      </c>
      <c r="S50" s="290" t="s">
        <v>16</v>
      </c>
      <c r="T50" s="290" t="s">
        <v>16</v>
      </c>
      <c r="U50" s="290" t="s">
        <v>16</v>
      </c>
      <c r="V50" s="290" t="s">
        <v>16</v>
      </c>
      <c r="W50" s="290" t="s">
        <v>16</v>
      </c>
    </row>
    <row r="51" spans="1:23" x14ac:dyDescent="0.2">
      <c r="A51" s="290" t="s">
        <v>668</v>
      </c>
      <c r="B51" s="290" t="s">
        <v>645</v>
      </c>
      <c r="C51" s="290" t="s">
        <v>16</v>
      </c>
      <c r="D51" s="290" t="s">
        <v>16</v>
      </c>
      <c r="E51" s="290">
        <v>22</v>
      </c>
      <c r="F51" s="290" t="s">
        <v>16</v>
      </c>
      <c r="G51" s="290">
        <v>28</v>
      </c>
      <c r="H51" s="290" t="s">
        <v>16</v>
      </c>
      <c r="I51" s="290" t="s">
        <v>16</v>
      </c>
      <c r="J51" s="290">
        <v>379</v>
      </c>
      <c r="K51" s="290" t="s">
        <v>16</v>
      </c>
      <c r="L51" s="290" t="s">
        <v>16</v>
      </c>
      <c r="M51" s="290" t="s">
        <v>16</v>
      </c>
      <c r="N51" s="290" t="s">
        <v>16</v>
      </c>
      <c r="O51" s="290" t="s">
        <v>16</v>
      </c>
      <c r="P51" s="290" t="s">
        <v>16</v>
      </c>
      <c r="Q51" s="290" t="s">
        <v>16</v>
      </c>
      <c r="R51" s="290" t="s">
        <v>16</v>
      </c>
      <c r="S51" s="290" t="s">
        <v>16</v>
      </c>
      <c r="T51" s="290" t="s">
        <v>16</v>
      </c>
      <c r="U51" s="290" t="s">
        <v>16</v>
      </c>
      <c r="V51" s="290" t="s">
        <v>16</v>
      </c>
      <c r="W51" s="290">
        <v>65036</v>
      </c>
    </row>
    <row r="52" spans="1:23" x14ac:dyDescent="0.2">
      <c r="A52" s="290" t="s">
        <v>667</v>
      </c>
      <c r="B52" s="290" t="s">
        <v>645</v>
      </c>
      <c r="C52" s="290">
        <v>48</v>
      </c>
      <c r="D52" s="290" t="s">
        <v>16</v>
      </c>
      <c r="E52" s="290">
        <v>15312</v>
      </c>
      <c r="F52" s="290">
        <v>53</v>
      </c>
      <c r="G52" s="290" t="s">
        <v>16</v>
      </c>
      <c r="H52" s="290" t="s">
        <v>16</v>
      </c>
      <c r="I52" s="290" t="s">
        <v>16</v>
      </c>
      <c r="J52" s="290" t="s">
        <v>16</v>
      </c>
      <c r="K52" s="290">
        <v>87</v>
      </c>
      <c r="L52" s="290" t="s">
        <v>16</v>
      </c>
      <c r="M52" s="290" t="s">
        <v>16</v>
      </c>
      <c r="N52" s="290" t="s">
        <v>16</v>
      </c>
      <c r="O52" s="290" t="s">
        <v>16</v>
      </c>
      <c r="P52" s="290" t="s">
        <v>16</v>
      </c>
      <c r="Q52" s="290" t="s">
        <v>16</v>
      </c>
      <c r="R52" s="290" t="s">
        <v>16</v>
      </c>
      <c r="S52" s="290" t="s">
        <v>16</v>
      </c>
      <c r="T52" s="290" t="s">
        <v>16</v>
      </c>
      <c r="U52" s="290" t="s">
        <v>16</v>
      </c>
      <c r="V52" s="290" t="s">
        <v>16</v>
      </c>
      <c r="W52" s="290" t="s">
        <v>16</v>
      </c>
    </row>
    <row r="53" spans="1:23" x14ac:dyDescent="0.2">
      <c r="A53" s="290" t="s">
        <v>666</v>
      </c>
      <c r="B53" s="290" t="s">
        <v>645</v>
      </c>
      <c r="C53" s="290">
        <v>12514</v>
      </c>
      <c r="D53" s="290">
        <v>6375</v>
      </c>
      <c r="E53" s="290">
        <v>9025</v>
      </c>
      <c r="F53" s="290">
        <v>9109</v>
      </c>
      <c r="G53" s="290">
        <v>6907</v>
      </c>
      <c r="H53" s="290">
        <v>6830</v>
      </c>
      <c r="I53" s="290">
        <v>6785</v>
      </c>
      <c r="J53" s="290">
        <v>6853</v>
      </c>
      <c r="K53" s="290" t="s">
        <v>16</v>
      </c>
      <c r="L53" s="290">
        <v>17</v>
      </c>
      <c r="M53" s="290">
        <v>17</v>
      </c>
      <c r="N53" s="290" t="s">
        <v>16</v>
      </c>
      <c r="O53" s="290" t="s">
        <v>16</v>
      </c>
      <c r="P53" s="290">
        <v>60</v>
      </c>
      <c r="Q53" s="290">
        <v>20</v>
      </c>
      <c r="R53" s="290">
        <v>107</v>
      </c>
      <c r="S53" s="290" t="s">
        <v>16</v>
      </c>
      <c r="T53" s="290" t="s">
        <v>16</v>
      </c>
      <c r="U53" s="290" t="s">
        <v>16</v>
      </c>
      <c r="V53" s="290" t="s">
        <v>16</v>
      </c>
      <c r="W53" s="290">
        <v>313</v>
      </c>
    </row>
    <row r="54" spans="1:23" x14ac:dyDescent="0.2">
      <c r="A54" s="290" t="s">
        <v>665</v>
      </c>
      <c r="B54" s="290" t="s">
        <v>645</v>
      </c>
      <c r="C54" s="290" t="s">
        <v>16</v>
      </c>
      <c r="D54" s="290" t="s">
        <v>16</v>
      </c>
      <c r="E54" s="290" t="s">
        <v>16</v>
      </c>
      <c r="F54" s="290" t="s">
        <v>16</v>
      </c>
      <c r="G54" s="290" t="s">
        <v>16</v>
      </c>
      <c r="H54" s="290" t="s">
        <v>16</v>
      </c>
      <c r="I54" s="290" t="s">
        <v>16</v>
      </c>
      <c r="J54" s="290" t="s">
        <v>16</v>
      </c>
      <c r="K54" s="290" t="s">
        <v>16</v>
      </c>
      <c r="L54" s="290" t="s">
        <v>16</v>
      </c>
      <c r="M54" s="290" t="s">
        <v>16</v>
      </c>
      <c r="N54" s="290" t="s">
        <v>16</v>
      </c>
      <c r="O54" s="290" t="s">
        <v>16</v>
      </c>
      <c r="P54" s="290">
        <v>58064</v>
      </c>
      <c r="Q54" s="290" t="s">
        <v>16</v>
      </c>
      <c r="R54" s="290" t="s">
        <v>16</v>
      </c>
      <c r="S54" s="290">
        <v>247644</v>
      </c>
      <c r="T54" s="290">
        <v>84191</v>
      </c>
      <c r="U54" s="290">
        <v>85227</v>
      </c>
      <c r="V54" s="290" t="s">
        <v>16</v>
      </c>
      <c r="W54" s="290" t="s">
        <v>16</v>
      </c>
    </row>
    <row r="55" spans="1:23" x14ac:dyDescent="0.2">
      <c r="A55" s="290" t="s">
        <v>664</v>
      </c>
      <c r="B55" s="290" t="s">
        <v>645</v>
      </c>
      <c r="C55" s="290">
        <v>583122</v>
      </c>
      <c r="D55" s="290">
        <v>126319</v>
      </c>
      <c r="E55" s="290">
        <v>447589</v>
      </c>
      <c r="F55" s="290">
        <v>349924</v>
      </c>
      <c r="G55" s="290" t="s">
        <v>16</v>
      </c>
      <c r="H55" s="290">
        <v>294312</v>
      </c>
      <c r="I55" s="290">
        <v>284541</v>
      </c>
      <c r="J55" s="290">
        <v>431026</v>
      </c>
      <c r="K55" s="290">
        <v>632599</v>
      </c>
      <c r="L55" s="290">
        <v>163347</v>
      </c>
      <c r="M55" s="290">
        <v>91708</v>
      </c>
      <c r="N55" s="290">
        <v>96867</v>
      </c>
      <c r="O55" s="290" t="s">
        <v>16</v>
      </c>
      <c r="P55" s="290">
        <v>138460</v>
      </c>
      <c r="Q55" s="290">
        <v>138480</v>
      </c>
      <c r="R55" s="290" t="s">
        <v>16</v>
      </c>
      <c r="S55" s="290">
        <v>90941</v>
      </c>
      <c r="T55" s="290">
        <v>82673</v>
      </c>
      <c r="U55" s="290">
        <v>182258</v>
      </c>
      <c r="V55" s="290" t="s">
        <v>16</v>
      </c>
      <c r="W55" s="290" t="s">
        <v>16</v>
      </c>
    </row>
    <row r="56" spans="1:23" x14ac:dyDescent="0.2">
      <c r="A56" s="290" t="s">
        <v>663</v>
      </c>
      <c r="B56" s="290" t="s">
        <v>645</v>
      </c>
      <c r="C56" s="290" t="s">
        <v>16</v>
      </c>
      <c r="D56" s="290" t="s">
        <v>16</v>
      </c>
      <c r="E56" s="290" t="s">
        <v>16</v>
      </c>
      <c r="F56" s="290">
        <v>148775</v>
      </c>
      <c r="G56" s="290">
        <v>930667</v>
      </c>
      <c r="H56" s="290">
        <v>1021661</v>
      </c>
      <c r="I56" s="290">
        <v>1178115</v>
      </c>
      <c r="J56" s="290" t="s">
        <v>16</v>
      </c>
      <c r="K56" s="290" t="s">
        <v>16</v>
      </c>
      <c r="L56" s="290" t="s">
        <v>16</v>
      </c>
      <c r="M56" s="290" t="s">
        <v>16</v>
      </c>
      <c r="N56" s="290" t="s">
        <v>16</v>
      </c>
      <c r="O56" s="290" t="s">
        <v>16</v>
      </c>
      <c r="P56" s="290" t="s">
        <v>16</v>
      </c>
      <c r="Q56" s="290" t="s">
        <v>16</v>
      </c>
      <c r="R56" s="290" t="s">
        <v>16</v>
      </c>
      <c r="S56" s="290" t="s">
        <v>16</v>
      </c>
      <c r="T56" s="290" t="s">
        <v>16</v>
      </c>
      <c r="U56" s="290" t="s">
        <v>16</v>
      </c>
      <c r="V56" s="290" t="s">
        <v>16</v>
      </c>
      <c r="W56" s="290" t="s">
        <v>16</v>
      </c>
    </row>
    <row r="57" spans="1:23" x14ac:dyDescent="0.2">
      <c r="A57" s="290" t="s">
        <v>662</v>
      </c>
      <c r="B57" s="290" t="s">
        <v>645</v>
      </c>
      <c r="C57" s="290" t="s">
        <v>16</v>
      </c>
      <c r="D57" s="290" t="s">
        <v>16</v>
      </c>
      <c r="E57" s="290">
        <v>78</v>
      </c>
      <c r="F57" s="290">
        <v>94</v>
      </c>
      <c r="G57" s="290" t="s">
        <v>16</v>
      </c>
      <c r="H57" s="290">
        <v>35</v>
      </c>
      <c r="I57" s="290" t="s">
        <v>16</v>
      </c>
      <c r="J57" s="290" t="s">
        <v>16</v>
      </c>
      <c r="K57" s="290" t="s">
        <v>16</v>
      </c>
      <c r="L57" s="290" t="s">
        <v>16</v>
      </c>
      <c r="M57" s="290" t="s">
        <v>16</v>
      </c>
      <c r="N57" s="290">
        <v>3376</v>
      </c>
      <c r="O57" s="290" t="s">
        <v>16</v>
      </c>
      <c r="P57" s="290" t="s">
        <v>16</v>
      </c>
      <c r="Q57" s="290" t="s">
        <v>16</v>
      </c>
      <c r="R57" s="290" t="s">
        <v>16</v>
      </c>
      <c r="S57" s="290" t="s">
        <v>16</v>
      </c>
      <c r="T57" s="290" t="s">
        <v>16</v>
      </c>
      <c r="U57" s="290" t="s">
        <v>16</v>
      </c>
      <c r="V57" s="290" t="s">
        <v>16</v>
      </c>
      <c r="W57" s="290">
        <v>1554</v>
      </c>
    </row>
    <row r="58" spans="1:23" x14ac:dyDescent="0.2">
      <c r="A58" s="290" t="s">
        <v>661</v>
      </c>
      <c r="B58" s="290" t="s">
        <v>645</v>
      </c>
      <c r="C58" s="290" t="s">
        <v>16</v>
      </c>
      <c r="D58" s="290" t="s">
        <v>16</v>
      </c>
      <c r="E58" s="290" t="s">
        <v>16</v>
      </c>
      <c r="F58" s="290" t="s">
        <v>16</v>
      </c>
      <c r="G58" s="290" t="s">
        <v>16</v>
      </c>
      <c r="H58" s="290" t="s">
        <v>16</v>
      </c>
      <c r="I58" s="290" t="s">
        <v>16</v>
      </c>
      <c r="J58" s="290" t="s">
        <v>16</v>
      </c>
      <c r="K58" s="290" t="s">
        <v>16</v>
      </c>
      <c r="L58" s="290" t="s">
        <v>16</v>
      </c>
      <c r="M58" s="290" t="s">
        <v>16</v>
      </c>
      <c r="N58" s="290" t="s">
        <v>16</v>
      </c>
      <c r="O58" s="290">
        <v>109020</v>
      </c>
      <c r="P58" s="290" t="s">
        <v>16</v>
      </c>
      <c r="Q58" s="290">
        <v>127400</v>
      </c>
      <c r="R58" s="290" t="s">
        <v>16</v>
      </c>
      <c r="S58" s="290" t="s">
        <v>16</v>
      </c>
      <c r="T58" s="290" t="s">
        <v>16</v>
      </c>
      <c r="U58" s="290" t="s">
        <v>16</v>
      </c>
      <c r="V58" s="290">
        <v>278529</v>
      </c>
      <c r="W58" s="290" t="s">
        <v>16</v>
      </c>
    </row>
    <row r="59" spans="1:23" x14ac:dyDescent="0.2">
      <c r="A59" s="290" t="s">
        <v>660</v>
      </c>
      <c r="B59" s="290" t="s">
        <v>645</v>
      </c>
      <c r="C59" s="290" t="s">
        <v>16</v>
      </c>
      <c r="D59" s="290" t="s">
        <v>16</v>
      </c>
      <c r="E59" s="290" t="s">
        <v>16</v>
      </c>
      <c r="F59" s="290" t="s">
        <v>16</v>
      </c>
      <c r="G59" s="290" t="s">
        <v>16</v>
      </c>
      <c r="H59" s="290" t="s">
        <v>16</v>
      </c>
      <c r="I59" s="290" t="s">
        <v>16</v>
      </c>
      <c r="J59" s="290" t="s">
        <v>16</v>
      </c>
      <c r="K59" s="290" t="s">
        <v>16</v>
      </c>
      <c r="L59" s="290">
        <v>81861</v>
      </c>
      <c r="M59" s="290" t="s">
        <v>16</v>
      </c>
      <c r="N59" s="290" t="s">
        <v>16</v>
      </c>
      <c r="O59" s="290" t="s">
        <v>16</v>
      </c>
      <c r="P59" s="290" t="s">
        <v>16</v>
      </c>
      <c r="Q59" s="290" t="s">
        <v>16</v>
      </c>
      <c r="R59" s="290" t="s">
        <v>16</v>
      </c>
      <c r="S59" s="290" t="s">
        <v>16</v>
      </c>
      <c r="T59" s="290" t="s">
        <v>16</v>
      </c>
      <c r="U59" s="290" t="s">
        <v>16</v>
      </c>
      <c r="V59" s="290" t="s">
        <v>16</v>
      </c>
      <c r="W59" s="290" t="s">
        <v>16</v>
      </c>
    </row>
    <row r="60" spans="1:23" x14ac:dyDescent="0.2">
      <c r="A60" s="290" t="s">
        <v>659</v>
      </c>
      <c r="B60" s="290" t="s">
        <v>645</v>
      </c>
      <c r="C60" s="290" t="s">
        <v>16</v>
      </c>
      <c r="D60" s="290" t="s">
        <v>16</v>
      </c>
      <c r="E60" s="290" t="s">
        <v>16</v>
      </c>
      <c r="F60" s="290" t="s">
        <v>16</v>
      </c>
      <c r="G60" s="290">
        <v>2756</v>
      </c>
      <c r="H60" s="290" t="s">
        <v>16</v>
      </c>
      <c r="I60" s="290" t="s">
        <v>16</v>
      </c>
      <c r="J60" s="290" t="s">
        <v>16</v>
      </c>
      <c r="K60" s="290" t="s">
        <v>16</v>
      </c>
      <c r="L60" s="290" t="s">
        <v>16</v>
      </c>
      <c r="M60" s="290" t="s">
        <v>16</v>
      </c>
      <c r="N60" s="290" t="s">
        <v>16</v>
      </c>
      <c r="O60" s="290" t="s">
        <v>16</v>
      </c>
      <c r="P60" s="290" t="s">
        <v>16</v>
      </c>
      <c r="Q60" s="290" t="s">
        <v>16</v>
      </c>
      <c r="R60" s="290" t="s">
        <v>16</v>
      </c>
      <c r="S60" s="290" t="s">
        <v>16</v>
      </c>
      <c r="T60" s="290">
        <v>112</v>
      </c>
      <c r="U60" s="290">
        <v>21</v>
      </c>
      <c r="V60" s="290" t="s">
        <v>16</v>
      </c>
      <c r="W60" s="290" t="s">
        <v>16</v>
      </c>
    </row>
    <row r="61" spans="1:23" x14ac:dyDescent="0.2">
      <c r="A61" s="290" t="s">
        <v>658</v>
      </c>
      <c r="B61" s="290" t="s">
        <v>645</v>
      </c>
      <c r="C61" s="290" t="s">
        <v>16</v>
      </c>
      <c r="D61" s="290" t="s">
        <v>16</v>
      </c>
      <c r="E61" s="290" t="s">
        <v>16</v>
      </c>
      <c r="F61" s="290">
        <v>255758</v>
      </c>
      <c r="G61" s="290">
        <v>314728</v>
      </c>
      <c r="H61" s="290">
        <v>81161</v>
      </c>
      <c r="I61" s="290" t="s">
        <v>16</v>
      </c>
      <c r="J61" s="290" t="s">
        <v>16</v>
      </c>
      <c r="K61" s="290" t="s">
        <v>16</v>
      </c>
      <c r="L61" s="290" t="s">
        <v>16</v>
      </c>
      <c r="M61" s="290">
        <v>583161</v>
      </c>
      <c r="N61" s="290">
        <v>142469</v>
      </c>
      <c r="O61" s="290">
        <v>749418</v>
      </c>
      <c r="P61" s="290">
        <v>416700</v>
      </c>
      <c r="Q61" s="290" t="s">
        <v>16</v>
      </c>
      <c r="R61" s="290">
        <v>24222</v>
      </c>
      <c r="S61" s="290">
        <v>60352</v>
      </c>
      <c r="T61" s="290" t="s">
        <v>16</v>
      </c>
      <c r="U61" s="290">
        <v>136080</v>
      </c>
      <c r="V61" s="290" t="s">
        <v>16</v>
      </c>
      <c r="W61" s="290">
        <v>214887</v>
      </c>
    </row>
    <row r="62" spans="1:23" x14ac:dyDescent="0.2">
      <c r="A62" s="290" t="s">
        <v>657</v>
      </c>
      <c r="B62" s="290" t="s">
        <v>645</v>
      </c>
      <c r="C62" s="290" t="s">
        <v>16</v>
      </c>
      <c r="D62" s="290">
        <v>77591</v>
      </c>
      <c r="E62" s="290" t="s">
        <v>16</v>
      </c>
      <c r="F62" s="290" t="s">
        <v>16</v>
      </c>
      <c r="G62" s="290" t="s">
        <v>16</v>
      </c>
      <c r="H62" s="290" t="s">
        <v>16</v>
      </c>
      <c r="I62" s="290">
        <v>44</v>
      </c>
      <c r="J62" s="290">
        <v>161101</v>
      </c>
      <c r="K62" s="290" t="s">
        <v>16</v>
      </c>
      <c r="L62" s="290" t="s">
        <v>16</v>
      </c>
      <c r="M62" s="290" t="s">
        <v>16</v>
      </c>
      <c r="N62" s="290" t="s">
        <v>16</v>
      </c>
      <c r="O62" s="290" t="s">
        <v>16</v>
      </c>
      <c r="P62" s="290" t="s">
        <v>16</v>
      </c>
      <c r="Q62" s="290" t="s">
        <v>16</v>
      </c>
      <c r="R62" s="290">
        <v>125884</v>
      </c>
      <c r="S62" s="290">
        <v>114552</v>
      </c>
      <c r="T62" s="290" t="s">
        <v>16</v>
      </c>
      <c r="U62" s="290" t="s">
        <v>16</v>
      </c>
      <c r="V62" s="290" t="s">
        <v>16</v>
      </c>
      <c r="W62" s="290">
        <v>22046</v>
      </c>
    </row>
    <row r="63" spans="1:23" x14ac:dyDescent="0.2">
      <c r="A63" s="290" t="s">
        <v>656</v>
      </c>
      <c r="B63" s="290" t="s">
        <v>645</v>
      </c>
      <c r="C63" s="290" t="s">
        <v>16</v>
      </c>
      <c r="D63" s="290" t="s">
        <v>16</v>
      </c>
      <c r="E63" s="290" t="s">
        <v>16</v>
      </c>
      <c r="F63" s="290" t="s">
        <v>16</v>
      </c>
      <c r="G63" s="290">
        <v>78319</v>
      </c>
      <c r="H63" s="290" t="s">
        <v>16</v>
      </c>
      <c r="I63" s="290" t="s">
        <v>16</v>
      </c>
      <c r="J63" s="290" t="s">
        <v>16</v>
      </c>
      <c r="K63" s="290" t="s">
        <v>16</v>
      </c>
      <c r="L63" s="290" t="s">
        <v>16</v>
      </c>
      <c r="M63" s="290" t="s">
        <v>16</v>
      </c>
      <c r="N63" s="290" t="s">
        <v>16</v>
      </c>
      <c r="O63" s="290" t="s">
        <v>16</v>
      </c>
      <c r="P63" s="290" t="s">
        <v>16</v>
      </c>
      <c r="Q63" s="290" t="s">
        <v>16</v>
      </c>
      <c r="R63" s="290" t="s">
        <v>16</v>
      </c>
      <c r="S63" s="290" t="s">
        <v>16</v>
      </c>
      <c r="T63" s="290">
        <v>34074</v>
      </c>
      <c r="U63" s="290" t="s">
        <v>16</v>
      </c>
      <c r="V63" s="290" t="s">
        <v>16</v>
      </c>
      <c r="W63" s="290" t="s">
        <v>16</v>
      </c>
    </row>
    <row r="64" spans="1:23" x14ac:dyDescent="0.2">
      <c r="A64" s="290" t="s">
        <v>655</v>
      </c>
      <c r="B64" s="290" t="s">
        <v>645</v>
      </c>
      <c r="C64" s="290" t="s">
        <v>16</v>
      </c>
      <c r="D64" s="290" t="s">
        <v>16</v>
      </c>
      <c r="E64" s="290" t="s">
        <v>16</v>
      </c>
      <c r="F64" s="290" t="s">
        <v>16</v>
      </c>
      <c r="G64" s="290" t="s">
        <v>16</v>
      </c>
      <c r="H64" s="290" t="s">
        <v>16</v>
      </c>
      <c r="I64" s="290" t="s">
        <v>16</v>
      </c>
      <c r="J64" s="290">
        <v>164134</v>
      </c>
      <c r="K64" s="290" t="s">
        <v>16</v>
      </c>
      <c r="L64" s="290" t="s">
        <v>16</v>
      </c>
      <c r="M64" s="290" t="s">
        <v>16</v>
      </c>
      <c r="N64" s="290" t="s">
        <v>16</v>
      </c>
      <c r="O64" s="290" t="s">
        <v>16</v>
      </c>
      <c r="P64" s="290" t="s">
        <v>16</v>
      </c>
      <c r="Q64" s="290" t="s">
        <v>16</v>
      </c>
      <c r="R64" s="290" t="s">
        <v>16</v>
      </c>
      <c r="S64" s="290" t="s">
        <v>16</v>
      </c>
      <c r="T64" s="290" t="s">
        <v>16</v>
      </c>
      <c r="U64" s="290" t="s">
        <v>16</v>
      </c>
      <c r="V64" s="290" t="s">
        <v>16</v>
      </c>
      <c r="W64" s="290" t="s">
        <v>16</v>
      </c>
    </row>
    <row r="65" spans="1:23" x14ac:dyDescent="0.2">
      <c r="A65" s="290" t="s">
        <v>654</v>
      </c>
      <c r="B65" s="290" t="s">
        <v>645</v>
      </c>
      <c r="C65" s="290" t="s">
        <v>16</v>
      </c>
      <c r="D65" s="290" t="s">
        <v>16</v>
      </c>
      <c r="E65" s="290" t="s">
        <v>16</v>
      </c>
      <c r="F65" s="290" t="s">
        <v>16</v>
      </c>
      <c r="G65" s="290">
        <v>21</v>
      </c>
      <c r="H65" s="290" t="s">
        <v>16</v>
      </c>
      <c r="I65" s="290" t="s">
        <v>16</v>
      </c>
      <c r="J65" s="290" t="s">
        <v>16</v>
      </c>
      <c r="K65" s="290" t="s">
        <v>16</v>
      </c>
      <c r="L65" s="290" t="s">
        <v>16</v>
      </c>
      <c r="M65" s="290" t="s">
        <v>16</v>
      </c>
      <c r="N65" s="290" t="s">
        <v>16</v>
      </c>
      <c r="O65" s="290" t="s">
        <v>16</v>
      </c>
      <c r="P65" s="290" t="s">
        <v>16</v>
      </c>
      <c r="Q65" s="290" t="s">
        <v>16</v>
      </c>
      <c r="R65" s="290" t="s">
        <v>16</v>
      </c>
      <c r="S65" s="290">
        <v>134467</v>
      </c>
      <c r="T65" s="290">
        <v>502099</v>
      </c>
      <c r="U65" s="290" t="s">
        <v>16</v>
      </c>
      <c r="V65" s="290" t="s">
        <v>16</v>
      </c>
      <c r="W65" s="290" t="s">
        <v>16</v>
      </c>
    </row>
    <row r="66" spans="1:23" x14ac:dyDescent="0.2">
      <c r="A66" s="290" t="s">
        <v>653</v>
      </c>
      <c r="B66" s="290" t="s">
        <v>645</v>
      </c>
      <c r="C66" s="290" t="s">
        <v>16</v>
      </c>
      <c r="D66" s="290" t="s">
        <v>16</v>
      </c>
      <c r="E66" s="290" t="s">
        <v>16</v>
      </c>
      <c r="F66" s="290" t="s">
        <v>16</v>
      </c>
      <c r="G66" s="290">
        <v>20</v>
      </c>
      <c r="H66" s="290" t="s">
        <v>16</v>
      </c>
      <c r="I66" s="290" t="s">
        <v>16</v>
      </c>
      <c r="J66" s="290" t="s">
        <v>16</v>
      </c>
      <c r="K66" s="290" t="s">
        <v>16</v>
      </c>
      <c r="L66" s="290">
        <v>1159</v>
      </c>
      <c r="M66" s="290" t="s">
        <v>16</v>
      </c>
      <c r="N66" s="290" t="s">
        <v>16</v>
      </c>
      <c r="O66" s="290" t="s">
        <v>16</v>
      </c>
      <c r="P66" s="290" t="s">
        <v>16</v>
      </c>
      <c r="Q66" s="290" t="s">
        <v>16</v>
      </c>
      <c r="R66" s="290" t="s">
        <v>16</v>
      </c>
      <c r="S66" s="290">
        <v>43</v>
      </c>
      <c r="T66" s="290">
        <v>60243</v>
      </c>
      <c r="U66" s="290">
        <v>55159</v>
      </c>
      <c r="V66" s="290">
        <v>64</v>
      </c>
      <c r="W66" s="290">
        <v>21</v>
      </c>
    </row>
    <row r="67" spans="1:23" x14ac:dyDescent="0.2">
      <c r="A67" s="290" t="s">
        <v>652</v>
      </c>
      <c r="B67" s="290" t="s">
        <v>645</v>
      </c>
      <c r="C67" s="290" t="s">
        <v>16</v>
      </c>
      <c r="D67" s="290">
        <v>2598</v>
      </c>
      <c r="E67" s="290" t="s">
        <v>16</v>
      </c>
      <c r="F67" s="290" t="s">
        <v>16</v>
      </c>
      <c r="G67" s="290" t="s">
        <v>16</v>
      </c>
      <c r="H67" s="290" t="s">
        <v>16</v>
      </c>
      <c r="I67" s="290" t="s">
        <v>16</v>
      </c>
      <c r="J67" s="290" t="s">
        <v>16</v>
      </c>
      <c r="K67" s="290" t="s">
        <v>16</v>
      </c>
      <c r="L67" s="290" t="s">
        <v>16</v>
      </c>
      <c r="M67" s="290" t="s">
        <v>16</v>
      </c>
      <c r="N67" s="290" t="s">
        <v>16</v>
      </c>
      <c r="O67" s="290" t="s">
        <v>16</v>
      </c>
      <c r="P67" s="290" t="s">
        <v>16</v>
      </c>
      <c r="Q67" s="290" t="s">
        <v>16</v>
      </c>
      <c r="R67" s="290" t="s">
        <v>16</v>
      </c>
      <c r="S67" s="290" t="s">
        <v>16</v>
      </c>
      <c r="T67" s="290" t="s">
        <v>16</v>
      </c>
      <c r="U67" s="290" t="s">
        <v>16</v>
      </c>
      <c r="V67" s="290" t="s">
        <v>16</v>
      </c>
      <c r="W67" s="290" t="s">
        <v>16</v>
      </c>
    </row>
    <row r="68" spans="1:23" x14ac:dyDescent="0.2">
      <c r="A68" s="290" t="s">
        <v>651</v>
      </c>
      <c r="B68" s="290" t="s">
        <v>645</v>
      </c>
      <c r="C68" s="290" t="s">
        <v>16</v>
      </c>
      <c r="D68" s="290" t="s">
        <v>16</v>
      </c>
      <c r="E68" s="290" t="s">
        <v>16</v>
      </c>
      <c r="F68" s="290" t="s">
        <v>16</v>
      </c>
      <c r="G68" s="290" t="s">
        <v>16</v>
      </c>
      <c r="H68" s="290" t="s">
        <v>16</v>
      </c>
      <c r="I68" s="290" t="s">
        <v>16</v>
      </c>
      <c r="J68" s="290" t="s">
        <v>16</v>
      </c>
      <c r="K68" s="290" t="s">
        <v>16</v>
      </c>
      <c r="L68" s="290" t="s">
        <v>16</v>
      </c>
      <c r="M68" s="290" t="s">
        <v>16</v>
      </c>
      <c r="N68" s="290" t="s">
        <v>16</v>
      </c>
      <c r="O68" s="290" t="s">
        <v>16</v>
      </c>
      <c r="P68" s="290" t="s">
        <v>16</v>
      </c>
      <c r="Q68" s="290" t="s">
        <v>16</v>
      </c>
      <c r="R68" s="290" t="s">
        <v>16</v>
      </c>
      <c r="S68" s="290" t="s">
        <v>16</v>
      </c>
      <c r="T68" s="290" t="s">
        <v>16</v>
      </c>
      <c r="U68" s="290">
        <v>57511</v>
      </c>
      <c r="V68" s="290" t="s">
        <v>16</v>
      </c>
      <c r="W68" s="290" t="s">
        <v>16</v>
      </c>
    </row>
    <row r="69" spans="1:23" x14ac:dyDescent="0.2">
      <c r="A69" s="290" t="s">
        <v>650</v>
      </c>
      <c r="B69" s="290" t="s">
        <v>645</v>
      </c>
      <c r="C69" s="290" t="s">
        <v>16</v>
      </c>
      <c r="D69" s="290" t="s">
        <v>16</v>
      </c>
      <c r="E69" s="290">
        <v>11</v>
      </c>
      <c r="F69" s="290" t="s">
        <v>16</v>
      </c>
      <c r="G69" s="290" t="s">
        <v>16</v>
      </c>
      <c r="H69" s="290" t="s">
        <v>16</v>
      </c>
      <c r="I69" s="290" t="s">
        <v>16</v>
      </c>
      <c r="J69" s="290" t="s">
        <v>16</v>
      </c>
      <c r="K69" s="290" t="s">
        <v>16</v>
      </c>
      <c r="L69" s="290" t="s">
        <v>16</v>
      </c>
      <c r="M69" s="290" t="s">
        <v>16</v>
      </c>
      <c r="N69" s="290" t="s">
        <v>16</v>
      </c>
      <c r="O69" s="290">
        <v>139697</v>
      </c>
      <c r="P69" s="290" t="s">
        <v>16</v>
      </c>
      <c r="Q69" s="290" t="s">
        <v>16</v>
      </c>
      <c r="R69" s="290" t="s">
        <v>16</v>
      </c>
      <c r="S69" s="290" t="s">
        <v>16</v>
      </c>
      <c r="T69" s="290" t="s">
        <v>16</v>
      </c>
      <c r="U69" s="290" t="s">
        <v>16</v>
      </c>
      <c r="V69" s="290" t="s">
        <v>16</v>
      </c>
      <c r="W69" s="290" t="s">
        <v>16</v>
      </c>
    </row>
    <row r="70" spans="1:23" x14ac:dyDescent="0.2">
      <c r="A70" s="290" t="s">
        <v>649</v>
      </c>
      <c r="B70" s="290" t="s">
        <v>645</v>
      </c>
      <c r="C70" s="290">
        <v>647761</v>
      </c>
      <c r="D70" s="290">
        <v>522233</v>
      </c>
      <c r="E70" s="290">
        <v>233548</v>
      </c>
      <c r="F70" s="290">
        <v>158921</v>
      </c>
      <c r="G70" s="290">
        <v>328405</v>
      </c>
      <c r="H70" s="290">
        <v>355079</v>
      </c>
      <c r="I70" s="290">
        <v>423657</v>
      </c>
      <c r="J70" s="290">
        <v>312491</v>
      </c>
      <c r="K70" s="290">
        <v>81437</v>
      </c>
      <c r="L70" s="290">
        <v>77971</v>
      </c>
      <c r="M70" s="290">
        <v>136831</v>
      </c>
      <c r="N70" s="290">
        <v>30314</v>
      </c>
      <c r="O70" s="290" t="s">
        <v>16</v>
      </c>
      <c r="P70" s="290" t="s">
        <v>16</v>
      </c>
      <c r="Q70" s="290">
        <v>118</v>
      </c>
      <c r="R70" s="290" t="s">
        <v>16</v>
      </c>
      <c r="S70" s="290">
        <v>137854</v>
      </c>
      <c r="T70" s="290" t="s">
        <v>16</v>
      </c>
      <c r="U70" s="290" t="s">
        <v>16</v>
      </c>
      <c r="V70" s="290" t="s">
        <v>16</v>
      </c>
      <c r="W70" s="290">
        <v>88185</v>
      </c>
    </row>
    <row r="71" spans="1:23" x14ac:dyDescent="0.2">
      <c r="A71" s="290" t="s">
        <v>648</v>
      </c>
      <c r="B71" s="290" t="s">
        <v>645</v>
      </c>
      <c r="C71" s="290" t="s">
        <v>16</v>
      </c>
      <c r="D71" s="290" t="s">
        <v>16</v>
      </c>
      <c r="E71" s="290" t="s">
        <v>16</v>
      </c>
      <c r="F71" s="290" t="s">
        <v>16</v>
      </c>
      <c r="G71" s="290" t="s">
        <v>16</v>
      </c>
      <c r="H71" s="290" t="s">
        <v>16</v>
      </c>
      <c r="I71" s="290" t="s">
        <v>16</v>
      </c>
      <c r="J71" s="290">
        <v>22</v>
      </c>
      <c r="K71" s="290">
        <v>621</v>
      </c>
      <c r="L71" s="290" t="s">
        <v>16</v>
      </c>
      <c r="M71" s="290" t="s">
        <v>16</v>
      </c>
      <c r="N71" s="290" t="s">
        <v>16</v>
      </c>
      <c r="O71" s="290" t="s">
        <v>16</v>
      </c>
      <c r="P71" s="290" t="s">
        <v>16</v>
      </c>
      <c r="Q71" s="290" t="s">
        <v>16</v>
      </c>
      <c r="R71" s="290">
        <v>27</v>
      </c>
      <c r="S71" s="290" t="s">
        <v>16</v>
      </c>
      <c r="T71" s="290" t="s">
        <v>16</v>
      </c>
      <c r="U71" s="290" t="s">
        <v>16</v>
      </c>
      <c r="V71" s="290" t="s">
        <v>16</v>
      </c>
      <c r="W71" s="290" t="s">
        <v>16</v>
      </c>
    </row>
    <row r="72" spans="1:23" x14ac:dyDescent="0.2">
      <c r="A72" s="290" t="s">
        <v>647</v>
      </c>
      <c r="B72" s="290" t="s">
        <v>645</v>
      </c>
      <c r="C72" s="290" t="s">
        <v>16</v>
      </c>
      <c r="D72" s="290" t="s">
        <v>16</v>
      </c>
      <c r="E72" s="290" t="s">
        <v>16</v>
      </c>
      <c r="F72" s="290" t="s">
        <v>16</v>
      </c>
      <c r="G72" s="290" t="s">
        <v>16</v>
      </c>
      <c r="H72" s="290" t="s">
        <v>16</v>
      </c>
      <c r="I72" s="290" t="s">
        <v>16</v>
      </c>
      <c r="J72" s="290" t="s">
        <v>16</v>
      </c>
      <c r="K72" s="290" t="s">
        <v>16</v>
      </c>
      <c r="L72" s="290" t="s">
        <v>16</v>
      </c>
      <c r="M72" s="290" t="s">
        <v>16</v>
      </c>
      <c r="N72" s="290">
        <v>88</v>
      </c>
      <c r="O72" s="290" t="s">
        <v>16</v>
      </c>
      <c r="P72" s="290">
        <v>66</v>
      </c>
      <c r="Q72" s="290" t="s">
        <v>16</v>
      </c>
      <c r="R72" s="290">
        <v>44</v>
      </c>
      <c r="S72" s="290" t="s">
        <v>16</v>
      </c>
      <c r="T72" s="290" t="s">
        <v>16</v>
      </c>
      <c r="U72" s="290" t="s">
        <v>16</v>
      </c>
      <c r="V72" s="290" t="s">
        <v>16</v>
      </c>
      <c r="W72" s="290" t="s">
        <v>16</v>
      </c>
    </row>
    <row r="73" spans="1:23" x14ac:dyDescent="0.2">
      <c r="A73" s="290" t="s">
        <v>646</v>
      </c>
      <c r="B73" s="290" t="s">
        <v>645</v>
      </c>
      <c r="C73" s="290" t="s">
        <v>16</v>
      </c>
      <c r="D73" s="290" t="s">
        <v>16</v>
      </c>
      <c r="E73" s="290" t="s">
        <v>16</v>
      </c>
      <c r="F73" s="290" t="s">
        <v>16</v>
      </c>
      <c r="G73" s="290" t="s">
        <v>16</v>
      </c>
      <c r="H73" s="290" t="s">
        <v>16</v>
      </c>
      <c r="I73" s="290" t="s">
        <v>16</v>
      </c>
      <c r="J73" s="290" t="s">
        <v>16</v>
      </c>
      <c r="K73" s="290" t="s">
        <v>16</v>
      </c>
      <c r="L73" s="290" t="s">
        <v>16</v>
      </c>
      <c r="M73" s="290" t="s">
        <v>16</v>
      </c>
      <c r="N73" s="290" t="s">
        <v>16</v>
      </c>
      <c r="O73" s="290" t="s">
        <v>16</v>
      </c>
      <c r="P73" s="290" t="s">
        <v>16</v>
      </c>
      <c r="Q73" s="290" t="s">
        <v>16</v>
      </c>
      <c r="R73" s="290" t="s">
        <v>16</v>
      </c>
      <c r="S73" s="290" t="s">
        <v>16</v>
      </c>
      <c r="T73" s="290">
        <v>14</v>
      </c>
      <c r="U73" s="290" t="s">
        <v>16</v>
      </c>
      <c r="V73" s="290" t="s">
        <v>16</v>
      </c>
      <c r="W73" s="290" t="s">
        <v>16</v>
      </c>
    </row>
  </sheetData>
  <conditionalFormatting sqref="C14:W73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D9E4-9797-4EF3-B223-B7E7C64D92F0}">
  <sheetPr>
    <tabColor theme="2" tint="-0.499984740745262"/>
  </sheetPr>
  <dimension ref="A1:Z62"/>
  <sheetViews>
    <sheetView workbookViewId="0">
      <selection activeCell="B42" sqref="B42"/>
    </sheetView>
  </sheetViews>
  <sheetFormatPr baseColWidth="10" defaultColWidth="11" defaultRowHeight="16" x14ac:dyDescent="0.2"/>
  <cols>
    <col min="2" max="2" width="11.83203125" customWidth="1"/>
    <col min="3" max="5" width="12.83203125" customWidth="1"/>
    <col min="6" max="6" width="14" customWidth="1"/>
    <col min="7" max="9" width="12.83203125" customWidth="1"/>
    <col min="11" max="11" width="14.5" customWidth="1"/>
    <col min="12" max="12" width="10.1640625" customWidth="1"/>
    <col min="13" max="15" width="15.1640625" customWidth="1"/>
    <col min="16" max="16" width="13.6640625" style="1" customWidth="1"/>
    <col min="17" max="17" width="13.5" customWidth="1"/>
  </cols>
  <sheetData>
    <row r="1" spans="1:26" x14ac:dyDescent="0.2">
      <c r="A1" s="1" t="s">
        <v>475</v>
      </c>
    </row>
    <row r="2" spans="1:26" x14ac:dyDescent="0.2">
      <c r="A2" s="1" t="s">
        <v>474</v>
      </c>
    </row>
    <row r="3" spans="1:26" x14ac:dyDescent="0.2">
      <c r="A3" s="1" t="s">
        <v>473</v>
      </c>
      <c r="C3" t="s">
        <v>472</v>
      </c>
    </row>
    <row r="4" spans="1:26" x14ac:dyDescent="0.2">
      <c r="S4" s="320"/>
      <c r="T4" s="320"/>
      <c r="U4" s="320"/>
      <c r="V4" s="320"/>
      <c r="W4" s="320"/>
    </row>
    <row r="5" spans="1:26" s="102" customFormat="1" ht="51" x14ac:dyDescent="0.2">
      <c r="A5" s="106" t="s">
        <v>270</v>
      </c>
      <c r="B5" s="81" t="s">
        <v>471</v>
      </c>
      <c r="C5" s="81" t="s">
        <v>470</v>
      </c>
      <c r="D5" s="81" t="s">
        <v>469</v>
      </c>
      <c r="E5" s="81" t="s">
        <v>468</v>
      </c>
      <c r="F5" s="81" t="s">
        <v>467</v>
      </c>
      <c r="G5" s="81" t="s">
        <v>466</v>
      </c>
      <c r="H5" s="81" t="s">
        <v>77</v>
      </c>
      <c r="I5" s="81" t="s">
        <v>266</v>
      </c>
      <c r="J5" s="81" t="s">
        <v>26</v>
      </c>
      <c r="K5" s="81" t="s">
        <v>86</v>
      </c>
      <c r="L5" s="81" t="s">
        <v>465</v>
      </c>
      <c r="M5" s="81" t="s">
        <v>464</v>
      </c>
      <c r="N5" s="81" t="s">
        <v>623</v>
      </c>
      <c r="O5" s="81" t="s">
        <v>31</v>
      </c>
      <c r="P5" s="266" t="s">
        <v>463</v>
      </c>
      <c r="Q5" s="105" t="s">
        <v>642</v>
      </c>
      <c r="R5" s="104" t="s">
        <v>455</v>
      </c>
      <c r="U5" s="103"/>
      <c r="V5" s="103"/>
      <c r="W5" s="103"/>
      <c r="X5" s="103"/>
      <c r="Y5" s="103"/>
      <c r="Z5" s="103"/>
    </row>
    <row r="6" spans="1:26" x14ac:dyDescent="0.2">
      <c r="A6" s="101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267"/>
      <c r="Q6" s="97"/>
      <c r="R6" s="32"/>
      <c r="U6" s="3"/>
      <c r="V6" s="3"/>
      <c r="Y6" s="3"/>
      <c r="Z6" s="3"/>
    </row>
    <row r="7" spans="1:26" x14ac:dyDescent="0.2">
      <c r="A7" s="99">
        <v>2020</v>
      </c>
      <c r="B7" s="273">
        <f>'OECD EUROPE'!J45</f>
        <v>239.91621215858368</v>
      </c>
      <c r="C7" s="273">
        <f>INDIA!J46</f>
        <v>712.27626433551336</v>
      </c>
      <c r="D7" s="273">
        <f>'Non-OECD ASIA'!J47</f>
        <v>536.44172777147435</v>
      </c>
      <c r="E7" s="273">
        <f>CHINA!J45</f>
        <v>648.28162219588012</v>
      </c>
      <c r="F7" s="273">
        <f>AFRICA!J45</f>
        <v>457.07673682294438</v>
      </c>
      <c r="G7" s="273">
        <f>'Non-OECD EUROPE'!J45</f>
        <v>406.3822289529881</v>
      </c>
      <c r="H7" s="273">
        <f>JAPAN!J45</f>
        <v>481.006882296762</v>
      </c>
      <c r="I7" s="273">
        <f>'S KOREA'!J45</f>
        <v>443.32210148199965</v>
      </c>
      <c r="J7" s="273">
        <f>BRAZIL!J45</f>
        <v>70.386412223871432</v>
      </c>
      <c r="K7" s="273">
        <f>MEXICO!J45</f>
        <v>323.92861353206325</v>
      </c>
      <c r="L7" s="273">
        <f>'Non-OECD Americas'!J45</f>
        <v>202.29745367536992</v>
      </c>
      <c r="M7" s="273">
        <f>'MID EAST'!J45</f>
        <v>348.11502005942896</v>
      </c>
      <c r="N7" s="273">
        <f>+'NZ AU'!J45</f>
        <v>595.75522920976107</v>
      </c>
      <c r="O7" s="274">
        <f>IFERROR(+Canada!J46,"N/A")</f>
        <v>153.0448449558674</v>
      </c>
      <c r="P7" s="268">
        <f>+SUM(B7:O7)</f>
        <v>5618.2313496725073</v>
      </c>
      <c r="Q7" s="97">
        <f>1011-(P7/14)</f>
        <v>609.69776073767798</v>
      </c>
      <c r="R7" s="271">
        <f t="shared" ref="R7:R13" si="0">Q7/1011</f>
        <v>0.60306405612035408</v>
      </c>
      <c r="U7" s="3"/>
      <c r="V7" s="3"/>
      <c r="Y7" s="3"/>
      <c r="Z7" s="3"/>
    </row>
    <row r="8" spans="1:26" x14ac:dyDescent="0.2">
      <c r="A8" s="99">
        <v>2025</v>
      </c>
      <c r="B8" s="273">
        <f>'OECD EUROPE'!J46</f>
        <v>190.91818835833143</v>
      </c>
      <c r="C8" s="273">
        <f>INDIA!J47</f>
        <v>519.3645674629206</v>
      </c>
      <c r="D8" s="273">
        <f>'Non-OECD ASIA'!J48</f>
        <v>500.53175067823969</v>
      </c>
      <c r="E8" s="273">
        <f>CHINA!J46</f>
        <v>541.11383142382488</v>
      </c>
      <c r="F8" s="273">
        <f>AFRICA!J46</f>
        <v>401.33850448293657</v>
      </c>
      <c r="G8" s="273">
        <f>'Non-OECD EUROPE'!J46</f>
        <v>388.46727801682255</v>
      </c>
      <c r="H8" s="273">
        <f>JAPAN!J46</f>
        <v>435.22651126729892</v>
      </c>
      <c r="I8" s="273">
        <f>'S KOREA'!J46</f>
        <v>384.80486065031135</v>
      </c>
      <c r="J8" s="273">
        <f>BRAZIL!J46</f>
        <v>52.791807541522573</v>
      </c>
      <c r="K8" s="273">
        <f>MEXICO!J46</f>
        <v>293.16893671247232</v>
      </c>
      <c r="L8" s="273">
        <f>'Non-OECD Americas'!J46</f>
        <v>168.71934163448969</v>
      </c>
      <c r="M8" s="273">
        <f>'MID EAST'!J46</f>
        <v>334.29825874336643</v>
      </c>
      <c r="N8" s="273">
        <f>+'NZ AU'!J46</f>
        <v>339.68115028150356</v>
      </c>
      <c r="O8" s="274">
        <f>IFERROR(+Canada!J47,"N/A")</f>
        <v>153.0448449558674</v>
      </c>
      <c r="P8" s="268">
        <f t="shared" ref="P8:P13" si="1">+SUM(B8:O8)</f>
        <v>4703.4698322099075</v>
      </c>
      <c r="Q8" s="97">
        <f>1011-(P8/13)</f>
        <v>649.19462829154554</v>
      </c>
      <c r="R8" s="271">
        <f t="shared" si="0"/>
        <v>0.64213118525375423</v>
      </c>
      <c r="U8" s="3"/>
      <c r="V8" s="3"/>
      <c r="Y8" s="3"/>
      <c r="Z8" s="3"/>
    </row>
    <row r="9" spans="1:26" x14ac:dyDescent="0.2">
      <c r="A9" s="99">
        <v>2030</v>
      </c>
      <c r="B9" s="273">
        <f>'OECD EUROPE'!J47</f>
        <v>151.16372592051817</v>
      </c>
      <c r="C9" s="273">
        <f>INDIA!J48</f>
        <v>402.69148501784412</v>
      </c>
      <c r="D9" s="273">
        <f>'Non-OECD ASIA'!J49</f>
        <v>507.78002745744669</v>
      </c>
      <c r="E9" s="273">
        <f>CHINA!J47</f>
        <v>468.22678635091705</v>
      </c>
      <c r="F9" s="273">
        <f>AFRICA!J47</f>
        <v>388.32982447093616</v>
      </c>
      <c r="G9" s="273">
        <f>'Non-OECD EUROPE'!J47</f>
        <v>361.8463605147661</v>
      </c>
      <c r="H9" s="273">
        <f>JAPAN!J47</f>
        <v>426.25415616146518</v>
      </c>
      <c r="I9" s="273">
        <f>'S KOREA'!J47</f>
        <v>391.54229366887438</v>
      </c>
      <c r="J9" s="273">
        <f>BRAZIL!J47</f>
        <v>55.061266156766983</v>
      </c>
      <c r="K9" s="273">
        <f>MEXICO!J47</f>
        <v>287.55512860737286</v>
      </c>
      <c r="L9" s="273">
        <f>'Non-OECD Americas'!J47</f>
        <v>141.28027875979157</v>
      </c>
      <c r="M9" s="273">
        <f>'MID EAST'!J47</f>
        <v>367.25563402897933</v>
      </c>
      <c r="N9" s="273">
        <f>+'NZ AU'!J47</f>
        <v>279.57129998139129</v>
      </c>
      <c r="O9" s="274">
        <f>IFERROR(+Canada!J48,"N/A")</f>
        <v>126.13728503223228</v>
      </c>
      <c r="P9" s="268">
        <f t="shared" si="1"/>
        <v>4354.6955521293021</v>
      </c>
      <c r="Q9" s="97">
        <f t="shared" ref="Q9:Q13" si="2">1011-(P9/14)</f>
        <v>699.95031770504988</v>
      </c>
      <c r="R9" s="271">
        <f t="shared" si="0"/>
        <v>0.69233463670133522</v>
      </c>
      <c r="U9" s="3"/>
      <c r="V9" s="3"/>
      <c r="Y9" s="3"/>
      <c r="Z9" s="3"/>
    </row>
    <row r="10" spans="1:26" x14ac:dyDescent="0.2">
      <c r="A10" s="99">
        <v>2035</v>
      </c>
      <c r="B10" s="273">
        <f>'OECD EUROPE'!J48</f>
        <v>145.54426958285117</v>
      </c>
      <c r="C10" s="273">
        <f>INDIA!J49</f>
        <v>368.78692761074848</v>
      </c>
      <c r="D10" s="273">
        <f>'Non-OECD ASIA'!J50</f>
        <v>489.63354919812718</v>
      </c>
      <c r="E10" s="273">
        <f>CHINA!J48</f>
        <v>436.34122872160532</v>
      </c>
      <c r="F10" s="273">
        <f>AFRICA!J48</f>
        <v>374.96913261037673</v>
      </c>
      <c r="G10" s="273">
        <f>'Non-OECD EUROPE'!J48</f>
        <v>345.02826328927938</v>
      </c>
      <c r="H10" s="273">
        <f>JAPAN!J48</f>
        <v>433.66784984659563</v>
      </c>
      <c r="I10" s="273">
        <f>'S KOREA'!J48</f>
        <v>205.05762406577011</v>
      </c>
      <c r="J10" s="273">
        <f>BRAZIL!J48</f>
        <v>44.974506769092706</v>
      </c>
      <c r="K10" s="273">
        <f>MEXICO!J48</f>
        <v>280.72747732126129</v>
      </c>
      <c r="L10" s="273">
        <f>'Non-OECD Americas'!J48</f>
        <v>144.08946102664461</v>
      </c>
      <c r="M10" s="273">
        <f>'MID EAST'!J48</f>
        <v>306.92014223125528</v>
      </c>
      <c r="N10" s="273">
        <f>+'NZ AU'!J48</f>
        <v>240.24592448428993</v>
      </c>
      <c r="O10" s="274">
        <f>IFERROR(+Canada!J49,"N/A")</f>
        <v>126.13728503223228</v>
      </c>
      <c r="P10" s="268">
        <f t="shared" si="1"/>
        <v>3942.1236417901305</v>
      </c>
      <c r="Q10" s="97">
        <f>1011-(P10/13)</f>
        <v>707.75971986229763</v>
      </c>
      <c r="R10" s="271">
        <f t="shared" si="0"/>
        <v>0.70005907009129342</v>
      </c>
      <c r="U10" s="3"/>
      <c r="V10" s="3"/>
      <c r="Y10" s="3"/>
      <c r="Z10" s="3"/>
    </row>
    <row r="11" spans="1:26" x14ac:dyDescent="0.2">
      <c r="A11" s="99">
        <v>2040</v>
      </c>
      <c r="B11" s="273">
        <f>'OECD EUROPE'!J49</f>
        <v>122.08491422350274</v>
      </c>
      <c r="C11" s="273">
        <f>INDIA!J50</f>
        <v>335.91730139927415</v>
      </c>
      <c r="D11" s="273">
        <f>'Non-OECD ASIA'!J51</f>
        <v>466.69079613821316</v>
      </c>
      <c r="E11" s="273">
        <f>CHINA!J49</f>
        <v>404.33038360187891</v>
      </c>
      <c r="F11" s="273">
        <f>AFRICA!J49</f>
        <v>328.41060627991538</v>
      </c>
      <c r="G11" s="273">
        <f>'Non-OECD EUROPE'!J49</f>
        <v>327.71686144943527</v>
      </c>
      <c r="H11" s="273">
        <f>JAPAN!J49</f>
        <v>420.59561037932798</v>
      </c>
      <c r="I11" s="273">
        <f>'S KOREA'!J49</f>
        <v>362.89154693681036</v>
      </c>
      <c r="J11" s="273">
        <f>BRAZIL!J49</f>
        <v>43.664727785085852</v>
      </c>
      <c r="K11" s="273">
        <f>MEXICO!J49</f>
        <v>267.90112333384275</v>
      </c>
      <c r="L11" s="273">
        <f>'Non-OECD Americas'!J49</f>
        <v>156.62798386781736</v>
      </c>
      <c r="M11" s="273">
        <f>'MID EAST'!J49</f>
        <v>289.19225438656599</v>
      </c>
      <c r="N11" s="273">
        <f>+'NZ AU'!J49</f>
        <v>208.0016023577148</v>
      </c>
      <c r="O11" s="274">
        <f>IFERROR(+Canada!J50,"N/A")</f>
        <v>127.53974814574292</v>
      </c>
      <c r="P11" s="268">
        <f t="shared" si="1"/>
        <v>3861.5654602851278</v>
      </c>
      <c r="Q11" s="97">
        <f t="shared" si="2"/>
        <v>735.17389569391946</v>
      </c>
      <c r="R11" s="271">
        <f t="shared" si="0"/>
        <v>0.72717497101277895</v>
      </c>
      <c r="U11" s="3"/>
      <c r="V11" s="3"/>
      <c r="Y11" s="3"/>
      <c r="Z11" s="3"/>
    </row>
    <row r="12" spans="1:26" x14ac:dyDescent="0.2">
      <c r="A12" s="99">
        <v>2045</v>
      </c>
      <c r="B12" s="273">
        <f>'OECD EUROPE'!J50</f>
        <v>127.17147327483829</v>
      </c>
      <c r="C12" s="273">
        <f>INDIA!J51</f>
        <v>325.96825701152375</v>
      </c>
      <c r="D12" s="273">
        <f>'Non-OECD ASIA'!J52</f>
        <v>501.32407651307875</v>
      </c>
      <c r="E12" s="273">
        <f>CHINA!J50</f>
        <v>377.92865457173383</v>
      </c>
      <c r="F12" s="273">
        <f>AFRICA!J50</f>
        <v>272.00051345430614</v>
      </c>
      <c r="G12" s="273">
        <f>'Non-OECD EUROPE'!J50</f>
        <v>315.2136016771795</v>
      </c>
      <c r="H12" s="273">
        <f>JAPAN!J50</f>
        <v>371.2073731106783</v>
      </c>
      <c r="I12" s="273">
        <f>'S KOREA'!J50</f>
        <v>334.43771224204119</v>
      </c>
      <c r="J12" s="273">
        <f>BRAZIL!J50</f>
        <v>28.86234248777512</v>
      </c>
      <c r="K12" s="273">
        <f>MEXICO!J50</f>
        <v>242.38104148839352</v>
      </c>
      <c r="L12" s="273">
        <f>'Non-OECD Americas'!J50</f>
        <v>138.92094897795167</v>
      </c>
      <c r="M12" s="273">
        <f>'MID EAST'!J50</f>
        <v>297.44280538076111</v>
      </c>
      <c r="N12" s="273">
        <f>+'NZ AU'!J50</f>
        <v>179.37188015278585</v>
      </c>
      <c r="O12" s="274">
        <f>IFERROR(+Canada!J51,"N/A")</f>
        <v>127.53974814574292</v>
      </c>
      <c r="P12" s="268">
        <f t="shared" si="1"/>
        <v>3639.7704284887895</v>
      </c>
      <c r="Q12" s="97">
        <f>1011-(P12/13)</f>
        <v>731.01765934701621</v>
      </c>
      <c r="R12" s="271">
        <f t="shared" si="0"/>
        <v>0.72306395583285477</v>
      </c>
      <c r="U12" s="3"/>
      <c r="V12" s="3"/>
      <c r="Y12" s="3"/>
      <c r="Z12" s="3"/>
    </row>
    <row r="13" spans="1:26" x14ac:dyDescent="0.2">
      <c r="A13" s="98">
        <v>2050</v>
      </c>
      <c r="B13" s="273">
        <f>'OECD EUROPE'!J51</f>
        <v>105.87805649637696</v>
      </c>
      <c r="C13" s="273">
        <f>INDIA!J52</f>
        <v>224.52168237354675</v>
      </c>
      <c r="D13" s="273">
        <f>'Non-OECD ASIA'!J53</f>
        <v>498.39026103333924</v>
      </c>
      <c r="E13" s="273">
        <f>CHINA!J51</f>
        <v>364.1094106687143</v>
      </c>
      <c r="F13" s="273">
        <f>AFRICA!J51</f>
        <v>193.91393469855117</v>
      </c>
      <c r="G13" s="273">
        <f>'Non-OECD EUROPE'!J51</f>
        <v>308.93084180815731</v>
      </c>
      <c r="H13" s="273">
        <f>JAPAN!J51</f>
        <v>322.18718315949963</v>
      </c>
      <c r="I13" s="273">
        <f>'S KOREA'!J51</f>
        <v>329.38862744355293</v>
      </c>
      <c r="J13" s="273">
        <f>BRAZIL!J51</f>
        <v>28.037074941764178</v>
      </c>
      <c r="K13" s="273">
        <f>MEXICO!J51</f>
        <v>211.1720858301891</v>
      </c>
      <c r="L13" s="273">
        <f>'Non-OECD Americas'!J51</f>
        <v>108.62106059958187</v>
      </c>
      <c r="M13" s="273">
        <f>'MID EAST'!J51</f>
        <v>300.34065098337459</v>
      </c>
      <c r="N13" s="273">
        <f>+'NZ AU'!J51</f>
        <v>166.22788865435345</v>
      </c>
      <c r="O13" s="274">
        <f>IFERROR(+Canada!J52,"N/A")</f>
        <v>139.79931278481175</v>
      </c>
      <c r="P13" s="268">
        <f t="shared" si="1"/>
        <v>3301.5180714758135</v>
      </c>
      <c r="Q13" s="97">
        <f t="shared" si="2"/>
        <v>775.17728060887043</v>
      </c>
      <c r="R13" s="272">
        <f t="shared" si="0"/>
        <v>0.76674310643805188</v>
      </c>
      <c r="U13" s="3"/>
      <c r="V13" s="3"/>
      <c r="Y13" s="3"/>
      <c r="Z13" s="3"/>
    </row>
    <row r="15" spans="1:26" x14ac:dyDescent="0.2">
      <c r="B15" t="s">
        <v>462</v>
      </c>
    </row>
    <row r="18" spans="1:16" x14ac:dyDescent="0.2">
      <c r="A18" t="s">
        <v>439</v>
      </c>
    </row>
    <row r="19" spans="1:16" x14ac:dyDescent="0.2">
      <c r="B19" s="4" t="s">
        <v>433</v>
      </c>
      <c r="M19" s="3"/>
      <c r="N19" s="3"/>
      <c r="O19" s="3"/>
    </row>
    <row r="20" spans="1:16" x14ac:dyDescent="0.2">
      <c r="B20" s="308" t="s">
        <v>432</v>
      </c>
      <c r="C20" s="309"/>
      <c r="D20" s="309"/>
      <c r="E20" s="309"/>
      <c r="F20" s="309"/>
      <c r="G20" s="309"/>
      <c r="H20" s="309"/>
      <c r="I20" s="309"/>
      <c r="J20" s="309"/>
    </row>
    <row r="21" spans="1:16" x14ac:dyDescent="0.2">
      <c r="B21" s="76" t="s">
        <v>431</v>
      </c>
    </row>
    <row r="22" spans="1:16" x14ac:dyDescent="0.2">
      <c r="B22" s="4" t="s">
        <v>430</v>
      </c>
      <c r="M22" s="3"/>
      <c r="N22" s="3"/>
      <c r="O22" s="3"/>
    </row>
    <row r="23" spans="1:16" x14ac:dyDescent="0.2">
      <c r="L23" s="1"/>
      <c r="M23" s="1"/>
      <c r="N23" s="1"/>
      <c r="O23" s="1"/>
    </row>
    <row r="24" spans="1:16" x14ac:dyDescent="0.2">
      <c r="L24" s="24"/>
      <c r="M24" s="24"/>
      <c r="N24" s="24"/>
      <c r="O24" s="24"/>
      <c r="P24" s="269"/>
    </row>
    <row r="26" spans="1:16" x14ac:dyDescent="0.2">
      <c r="L26" s="24"/>
      <c r="M26" s="24"/>
      <c r="N26" s="24"/>
      <c r="O26" s="24"/>
      <c r="P26" s="269"/>
    </row>
    <row r="27" spans="1:16" x14ac:dyDescent="0.2">
      <c r="C27" s="321" t="s">
        <v>461</v>
      </c>
      <c r="D27" s="321"/>
      <c r="E27" s="321"/>
      <c r="F27" s="321"/>
      <c r="G27" s="321"/>
      <c r="H27" s="321"/>
      <c r="I27" s="321"/>
      <c r="J27" s="321"/>
      <c r="K27" s="322" t="s">
        <v>460</v>
      </c>
    </row>
    <row r="28" spans="1:16" ht="51" x14ac:dyDescent="0.2">
      <c r="C28" s="96" t="s">
        <v>459</v>
      </c>
      <c r="D28" s="81" t="s">
        <v>458</v>
      </c>
      <c r="E28" s="81" t="s">
        <v>457</v>
      </c>
      <c r="F28" s="81" t="s">
        <v>456</v>
      </c>
      <c r="G28" s="81" t="s">
        <v>455</v>
      </c>
      <c r="H28" s="95"/>
      <c r="I28" s="81"/>
      <c r="J28" s="81"/>
      <c r="K28" s="323"/>
      <c r="L28" s="24"/>
      <c r="M28" s="24"/>
      <c r="N28" s="24"/>
      <c r="O28" s="24"/>
      <c r="P28" s="269"/>
    </row>
    <row r="29" spans="1:16" x14ac:dyDescent="0.2">
      <c r="C29" s="90" t="s">
        <v>454</v>
      </c>
      <c r="D29" s="94" t="s">
        <v>453</v>
      </c>
      <c r="E29" s="87">
        <f t="shared" ref="E29:E35" si="3">K29*1000000000000</f>
        <v>16000000000000</v>
      </c>
      <c r="F29" s="93">
        <f t="shared" ref="F29:F35" si="4">E29/1000000</f>
        <v>16000000</v>
      </c>
      <c r="G29" s="87">
        <f t="shared" ref="G29:G35" si="5">F29/($F$37)</f>
        <v>1.0289389067524116E-2</v>
      </c>
      <c r="H29" s="87"/>
      <c r="I29" s="92"/>
      <c r="J29" s="91"/>
      <c r="K29" s="85">
        <v>16</v>
      </c>
      <c r="L29" s="3" t="s">
        <v>865</v>
      </c>
      <c r="M29" s="3"/>
      <c r="N29" s="3"/>
      <c r="O29" s="3"/>
      <c r="P29" s="270"/>
    </row>
    <row r="30" spans="1:16" x14ac:dyDescent="0.2">
      <c r="C30" s="90" t="s">
        <v>452</v>
      </c>
      <c r="D30" s="94" t="s">
        <v>451</v>
      </c>
      <c r="E30" s="87">
        <f t="shared" si="3"/>
        <v>35000000000000</v>
      </c>
      <c r="F30" s="93">
        <f t="shared" si="4"/>
        <v>35000000</v>
      </c>
      <c r="G30" s="87">
        <f t="shared" si="5"/>
        <v>2.2508038585209004E-2</v>
      </c>
      <c r="H30" s="87"/>
      <c r="I30" s="92"/>
      <c r="J30" s="91"/>
      <c r="K30" s="85">
        <v>35</v>
      </c>
      <c r="L30" s="314" t="s">
        <v>860</v>
      </c>
      <c r="M30" s="3"/>
      <c r="N30" s="3"/>
      <c r="O30" s="3"/>
      <c r="P30" s="270"/>
    </row>
    <row r="31" spans="1:16" x14ac:dyDescent="0.2">
      <c r="C31" s="90" t="s">
        <v>450</v>
      </c>
      <c r="D31" s="94" t="s">
        <v>449</v>
      </c>
      <c r="E31" s="87">
        <f t="shared" si="3"/>
        <v>12000000000000</v>
      </c>
      <c r="F31" s="93">
        <f t="shared" si="4"/>
        <v>12000000</v>
      </c>
      <c r="G31" s="87">
        <f t="shared" si="5"/>
        <v>7.7170418006430866E-3</v>
      </c>
      <c r="H31" s="87"/>
      <c r="I31" s="92"/>
      <c r="J31" s="91"/>
      <c r="K31" s="85">
        <v>12</v>
      </c>
    </row>
    <row r="32" spans="1:16" x14ac:dyDescent="0.2">
      <c r="C32" s="90" t="s">
        <v>448</v>
      </c>
      <c r="D32" s="94" t="s">
        <v>447</v>
      </c>
      <c r="E32" s="87">
        <f t="shared" si="3"/>
        <v>4000000000000</v>
      </c>
      <c r="F32" s="93">
        <f t="shared" si="4"/>
        <v>4000000</v>
      </c>
      <c r="G32" s="87">
        <f t="shared" si="5"/>
        <v>2.572347266881029E-3</v>
      </c>
      <c r="H32" s="87"/>
      <c r="I32" s="92"/>
      <c r="J32" s="91"/>
      <c r="K32" s="85">
        <v>4</v>
      </c>
      <c r="L32" s="3"/>
      <c r="M32" s="3"/>
      <c r="N32" s="3"/>
      <c r="O32" s="3"/>
      <c r="P32" s="270"/>
    </row>
    <row r="33" spans="1:16" x14ac:dyDescent="0.2">
      <c r="C33" s="90" t="s">
        <v>446</v>
      </c>
      <c r="D33" s="94" t="s">
        <v>445</v>
      </c>
      <c r="E33" s="87">
        <f t="shared" si="3"/>
        <v>1001000000000000</v>
      </c>
      <c r="F33" s="93">
        <f t="shared" si="4"/>
        <v>1001000000</v>
      </c>
      <c r="G33" s="87">
        <f t="shared" si="5"/>
        <v>0.64372990353697745</v>
      </c>
      <c r="H33" s="87"/>
      <c r="I33" s="92"/>
      <c r="J33" s="91"/>
      <c r="K33" s="85">
        <v>1001</v>
      </c>
      <c r="L33" t="s">
        <v>852</v>
      </c>
    </row>
    <row r="34" spans="1:16" x14ac:dyDescent="0.2">
      <c r="C34" s="90" t="s">
        <v>444</v>
      </c>
      <c r="D34" s="94" t="s">
        <v>443</v>
      </c>
      <c r="E34" s="87">
        <f t="shared" si="3"/>
        <v>469000000000000</v>
      </c>
      <c r="F34" s="93">
        <f t="shared" si="4"/>
        <v>469000000</v>
      </c>
      <c r="G34" s="87">
        <f t="shared" si="5"/>
        <v>0.30160771704180062</v>
      </c>
      <c r="H34" s="87"/>
      <c r="I34" s="92"/>
      <c r="J34" s="91"/>
      <c r="K34" s="85">
        <v>469</v>
      </c>
      <c r="L34" s="3"/>
      <c r="M34" s="3"/>
      <c r="N34" s="3"/>
      <c r="O34" s="3"/>
      <c r="P34" s="270"/>
    </row>
    <row r="35" spans="1:16" x14ac:dyDescent="0.2">
      <c r="C35" s="90" t="s">
        <v>442</v>
      </c>
      <c r="D35" s="94" t="s">
        <v>441</v>
      </c>
      <c r="E35" s="87">
        <f t="shared" si="3"/>
        <v>18000000000000</v>
      </c>
      <c r="F35" s="93">
        <f t="shared" si="4"/>
        <v>18000000</v>
      </c>
      <c r="G35" s="87">
        <f t="shared" si="5"/>
        <v>1.1575562700964629E-2</v>
      </c>
      <c r="H35" s="87"/>
      <c r="I35" s="92"/>
      <c r="J35" s="91"/>
      <c r="K35" s="85">
        <v>18</v>
      </c>
    </row>
    <row r="36" spans="1:16" x14ac:dyDescent="0.2">
      <c r="C36" s="90"/>
      <c r="D36" s="89"/>
      <c r="E36" s="87"/>
      <c r="F36" s="88"/>
      <c r="G36" s="87">
        <f>SUM(G29:G35)</f>
        <v>1</v>
      </c>
      <c r="H36" s="87"/>
      <c r="I36" s="87"/>
      <c r="J36" s="86"/>
      <c r="K36" s="85"/>
    </row>
    <row r="37" spans="1:16" x14ac:dyDescent="0.2">
      <c r="C37" s="90"/>
      <c r="D37" s="89"/>
      <c r="E37" s="87"/>
      <c r="F37" s="88">
        <f>SUM(F29:F36)</f>
        <v>1555000000</v>
      </c>
      <c r="G37" s="87"/>
      <c r="H37" s="87"/>
      <c r="I37" s="87"/>
      <c r="J37" s="86">
        <f>SUM(J29:J36)</f>
        <v>0</v>
      </c>
      <c r="K37" s="85">
        <f>SUM(K29:K36)</f>
        <v>1555</v>
      </c>
    </row>
    <row r="38" spans="1:16" ht="47" customHeight="1" x14ac:dyDescent="0.2">
      <c r="C38" s="84"/>
      <c r="D38" s="83"/>
      <c r="E38" s="82"/>
      <c r="F38" s="82"/>
      <c r="G38" s="82"/>
      <c r="H38" s="81" t="s">
        <v>440</v>
      </c>
      <c r="I38" s="80"/>
      <c r="J38" s="79">
        <f>J37/7</f>
        <v>0</v>
      </c>
      <c r="K38" s="78">
        <f>K37/7</f>
        <v>222.14285714285714</v>
      </c>
    </row>
    <row r="39" spans="1:16" x14ac:dyDescent="0.2">
      <c r="C39" s="27"/>
      <c r="D39" s="77"/>
      <c r="E39" s="27"/>
      <c r="F39" s="27"/>
      <c r="G39" s="27"/>
      <c r="H39" s="27"/>
      <c r="I39" s="27"/>
      <c r="J39" s="27"/>
      <c r="K39" s="27"/>
    </row>
    <row r="41" spans="1:16" x14ac:dyDescent="0.2">
      <c r="A41" t="s">
        <v>439</v>
      </c>
    </row>
    <row r="42" spans="1:16" x14ac:dyDescent="0.2">
      <c r="A42" t="s">
        <v>864</v>
      </c>
      <c r="B42" s="316" t="s">
        <v>863</v>
      </c>
    </row>
    <row r="43" spans="1:16" x14ac:dyDescent="0.2">
      <c r="B43" s="76" t="s">
        <v>853</v>
      </c>
    </row>
    <row r="44" spans="1:16" x14ac:dyDescent="0.2">
      <c r="B44" t="s">
        <v>438</v>
      </c>
    </row>
    <row r="45" spans="1:16" x14ac:dyDescent="0.2">
      <c r="B45" t="s">
        <v>437</v>
      </c>
    </row>
    <row r="46" spans="1:16" x14ac:dyDescent="0.2">
      <c r="B46" s="76" t="s">
        <v>851</v>
      </c>
    </row>
    <row r="47" spans="1:16" x14ac:dyDescent="0.2">
      <c r="B47" s="76" t="s">
        <v>436</v>
      </c>
    </row>
    <row r="48" spans="1:16" x14ac:dyDescent="0.2">
      <c r="B48" s="76" t="s">
        <v>430</v>
      </c>
    </row>
    <row r="49" spans="1:2" x14ac:dyDescent="0.2">
      <c r="B49" s="76" t="s">
        <v>435</v>
      </c>
    </row>
    <row r="50" spans="1:2" x14ac:dyDescent="0.2">
      <c r="A50" t="s">
        <v>859</v>
      </c>
      <c r="B50" s="76" t="s">
        <v>434</v>
      </c>
    </row>
    <row r="51" spans="1:2" x14ac:dyDescent="0.2">
      <c r="B51" t="s">
        <v>858</v>
      </c>
    </row>
    <row r="52" spans="1:2" x14ac:dyDescent="0.2">
      <c r="B52" s="76" t="s">
        <v>433</v>
      </c>
    </row>
    <row r="53" spans="1:2" x14ac:dyDescent="0.2">
      <c r="B53" t="s">
        <v>432</v>
      </c>
    </row>
    <row r="54" spans="1:2" x14ac:dyDescent="0.2">
      <c r="B54" s="76" t="s">
        <v>431</v>
      </c>
    </row>
    <row r="55" spans="1:2" x14ac:dyDescent="0.2">
      <c r="B55" t="s">
        <v>430</v>
      </c>
    </row>
    <row r="56" spans="1:2" x14ac:dyDescent="0.2">
      <c r="A56" t="s">
        <v>855</v>
      </c>
      <c r="B56" s="76" t="s">
        <v>854</v>
      </c>
    </row>
    <row r="57" spans="1:2" x14ac:dyDescent="0.2">
      <c r="A57" t="s">
        <v>862</v>
      </c>
      <c r="B57" t="s">
        <v>861</v>
      </c>
    </row>
    <row r="59" spans="1:2" x14ac:dyDescent="0.2">
      <c r="A59" t="s">
        <v>429</v>
      </c>
    </row>
    <row r="60" spans="1:2" x14ac:dyDescent="0.2">
      <c r="B60" t="s">
        <v>428</v>
      </c>
    </row>
    <row r="61" spans="1:2" x14ac:dyDescent="0.2">
      <c r="B61" t="s">
        <v>427</v>
      </c>
    </row>
    <row r="62" spans="1:2" x14ac:dyDescent="0.2">
      <c r="B62" t="s">
        <v>426</v>
      </c>
    </row>
  </sheetData>
  <mergeCells count="3">
    <mergeCell ref="S4:W4"/>
    <mergeCell ref="C27:J27"/>
    <mergeCell ref="K27:K28"/>
  </mergeCells>
  <hyperlinks>
    <hyperlink ref="B54" r:id="rId1" xr:uid="{2ACB2642-2F46-4E1C-8F96-EFDFF7A342FE}"/>
    <hyperlink ref="B47" r:id="rId2" xr:uid="{2661B3D4-EEDA-471C-89AF-28D5CD60AD15}"/>
    <hyperlink ref="B21" r:id="rId3" display="https://www.eia.gov/outlooks/ieo/tables_side_xls.php" xr:uid="{6502F3CD-836F-42A3-B6D6-F07ECC0A9515}"/>
    <hyperlink ref="B46" r:id="rId4" xr:uid="{4063F718-9313-A944-A136-720509F71160}"/>
    <hyperlink ref="B43" r:id="rId5" location=":~:text=Regular%20biomass%20energy%20emits%20230,of%20the%20renewable%20fuel%20types " xr:uid="{AECD657A-72DA-3B40-B012-45C6C1DAC79A}"/>
    <hyperlink ref="B52" r:id="rId6" xr:uid="{D398059F-5C5F-6F41-91CB-DD61AE556277}"/>
    <hyperlink ref="B56" r:id="rId7" xr:uid="{8D6AA0D7-1670-514D-AE12-8D952D5528AA}"/>
    <hyperlink ref="B50" r:id="rId8" location=":~:text=Wind%20energy%20produces%20around%2011,2%2FkWh%20for%20natural%20gas." xr:uid="{E1C8B932-23FC-684B-B4C4-B3B14E39E233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6FB92-76A5-43BC-859A-D15C19D48263}">
  <sheetPr>
    <tabColor theme="6"/>
  </sheetPr>
  <dimension ref="A1:AQ73"/>
  <sheetViews>
    <sheetView topLeftCell="A7" zoomScaleNormal="100" workbookViewId="0">
      <selection activeCell="J6" sqref="J6:J12"/>
    </sheetView>
  </sheetViews>
  <sheetFormatPr baseColWidth="10" defaultColWidth="11" defaultRowHeight="16" x14ac:dyDescent="0.2"/>
  <cols>
    <col min="1" max="1" width="17.6640625" customWidth="1"/>
    <col min="2" max="2" width="12.6640625" customWidth="1"/>
    <col min="3" max="3" width="14.33203125" customWidth="1"/>
    <col min="4" max="4" width="15.83203125" customWidth="1"/>
    <col min="5" max="5" width="15.1640625" customWidth="1"/>
    <col min="6" max="6" width="14" customWidth="1"/>
    <col min="8" max="8" width="12.1640625" customWidth="1"/>
    <col min="12" max="12" width="16.33203125" customWidth="1"/>
    <col min="13" max="13" width="15" bestFit="1" customWidth="1"/>
    <col min="14" max="14" width="14" bestFit="1" customWidth="1"/>
    <col min="15" max="15" width="15" bestFit="1" customWidth="1"/>
    <col min="16" max="16" width="15" customWidth="1"/>
    <col min="17" max="17" width="16.5" customWidth="1"/>
    <col min="18" max="18" width="15" bestFit="1" customWidth="1"/>
    <col min="19" max="19" width="21.33203125" customWidth="1"/>
    <col min="20" max="20" width="11.5" customWidth="1"/>
    <col min="23" max="23" width="12.6640625" customWidth="1"/>
    <col min="41" max="41" width="15.5" customWidth="1"/>
    <col min="43" max="43" width="11.5" customWidth="1"/>
  </cols>
  <sheetData>
    <row r="1" spans="1:10" x14ac:dyDescent="0.2">
      <c r="A1" t="s">
        <v>531</v>
      </c>
      <c r="B1" t="s">
        <v>530</v>
      </c>
    </row>
    <row r="3" spans="1:10" x14ac:dyDescent="0.2">
      <c r="A3" t="s">
        <v>529</v>
      </c>
    </row>
    <row r="4" spans="1:10" x14ac:dyDescent="0.2">
      <c r="B4" s="321" t="s">
        <v>461</v>
      </c>
      <c r="C4" s="321"/>
      <c r="D4" s="321"/>
      <c r="E4" s="321"/>
      <c r="F4" s="321"/>
      <c r="G4" s="321"/>
      <c r="H4" s="321"/>
      <c r="I4" s="321"/>
      <c r="J4" s="322" t="s">
        <v>460</v>
      </c>
    </row>
    <row r="5" spans="1:10" ht="68" customHeight="1" x14ac:dyDescent="0.2">
      <c r="A5" s="27"/>
      <c r="B5" s="96" t="s">
        <v>459</v>
      </c>
      <c r="C5" s="81" t="s">
        <v>458</v>
      </c>
      <c r="D5" s="81" t="s">
        <v>457</v>
      </c>
      <c r="E5" s="81" t="s">
        <v>456</v>
      </c>
      <c r="F5" s="81" t="s">
        <v>455</v>
      </c>
      <c r="G5" s="95"/>
      <c r="H5" s="81" t="s">
        <v>528</v>
      </c>
      <c r="I5" s="81" t="s">
        <v>527</v>
      </c>
      <c r="J5" s="323"/>
    </row>
    <row r="6" spans="1:10" x14ac:dyDescent="0.2">
      <c r="B6" s="90" t="s">
        <v>454</v>
      </c>
      <c r="C6" s="94" t="s">
        <v>453</v>
      </c>
      <c r="D6" s="87">
        <f t="shared" ref="D6:D12" si="0">J6*1000000000000</f>
        <v>16000000000000</v>
      </c>
      <c r="E6" s="93">
        <f t="shared" ref="E6:E12" si="1">D6/1000000</f>
        <v>16000000</v>
      </c>
      <c r="F6" s="87">
        <f t="shared" ref="F6:F12" si="2">E6/($E$14)</f>
        <v>1.0289389067524116E-2</v>
      </c>
      <c r="G6" s="87"/>
      <c r="H6" s="92">
        <f>X43</f>
        <v>4.9203774818052859E-3</v>
      </c>
      <c r="I6" s="91">
        <f t="shared" ref="I6:I12" si="3">J6*H6</f>
        <v>7.8726039708884574E-2</v>
      </c>
      <c r="J6" s="85">
        <v>16</v>
      </c>
    </row>
    <row r="7" spans="1:10" x14ac:dyDescent="0.2">
      <c r="B7" s="90" t="s">
        <v>452</v>
      </c>
      <c r="C7" s="94" t="s">
        <v>451</v>
      </c>
      <c r="D7" s="87">
        <f t="shared" si="0"/>
        <v>35000000000000</v>
      </c>
      <c r="E7" s="93">
        <f t="shared" si="1"/>
        <v>35000000</v>
      </c>
      <c r="F7" s="87">
        <f t="shared" si="2"/>
        <v>2.2508038585209004E-2</v>
      </c>
      <c r="G7" s="87"/>
      <c r="H7" s="92">
        <f>Z43</f>
        <v>6.2866921793162962E-3</v>
      </c>
      <c r="I7" s="91">
        <f t="shared" si="3"/>
        <v>0.22003422627607036</v>
      </c>
      <c r="J7" s="85">
        <v>35</v>
      </c>
    </row>
    <row r="8" spans="1:10" x14ac:dyDescent="0.2">
      <c r="B8" s="90" t="s">
        <v>450</v>
      </c>
      <c r="C8" s="94" t="s">
        <v>449</v>
      </c>
      <c r="D8" s="87">
        <f t="shared" si="0"/>
        <v>12000000000000</v>
      </c>
      <c r="E8" s="93">
        <f t="shared" si="1"/>
        <v>12000000</v>
      </c>
      <c r="F8" s="87">
        <f t="shared" si="2"/>
        <v>7.7170418006430866E-3</v>
      </c>
      <c r="G8" s="87"/>
      <c r="H8" s="92">
        <f>AA43</f>
        <v>2.8600997388423012E-3</v>
      </c>
      <c r="I8" s="91">
        <f t="shared" si="3"/>
        <v>3.4321196866107614E-2</v>
      </c>
      <c r="J8" s="85">
        <v>12</v>
      </c>
    </row>
    <row r="9" spans="1:10" x14ac:dyDescent="0.2">
      <c r="B9" s="90" t="s">
        <v>448</v>
      </c>
      <c r="C9" s="94" t="s">
        <v>447</v>
      </c>
      <c r="D9" s="87">
        <f t="shared" si="0"/>
        <v>4000000000000</v>
      </c>
      <c r="E9" s="93">
        <f t="shared" si="1"/>
        <v>4000000</v>
      </c>
      <c r="F9" s="87">
        <f t="shared" si="2"/>
        <v>2.572347266881029E-3</v>
      </c>
      <c r="G9" s="87"/>
      <c r="H9" s="92">
        <f>Y43</f>
        <v>1.9164018015853396E-3</v>
      </c>
      <c r="I9" s="91">
        <f t="shared" si="3"/>
        <v>7.6656072063413586E-3</v>
      </c>
      <c r="J9" s="85">
        <v>4</v>
      </c>
    </row>
    <row r="10" spans="1:10" x14ac:dyDescent="0.2">
      <c r="B10" s="90" t="s">
        <v>446</v>
      </c>
      <c r="C10" s="94" t="s">
        <v>445</v>
      </c>
      <c r="D10" s="87">
        <f t="shared" si="0"/>
        <v>1001000000000000</v>
      </c>
      <c r="E10" s="93">
        <f t="shared" si="1"/>
        <v>1001000000</v>
      </c>
      <c r="F10" s="87">
        <f t="shared" si="2"/>
        <v>0.64372990353697745</v>
      </c>
      <c r="G10" s="87"/>
      <c r="H10" s="92">
        <f>V43</f>
        <v>0.95322475445950272</v>
      </c>
      <c r="I10" s="91">
        <f t="shared" si="3"/>
        <v>954.1779792139622</v>
      </c>
      <c r="J10" s="85">
        <v>1001</v>
      </c>
    </row>
    <row r="11" spans="1:10" x14ac:dyDescent="0.2">
      <c r="B11" s="90" t="s">
        <v>444</v>
      </c>
      <c r="C11" s="94" t="s">
        <v>443</v>
      </c>
      <c r="D11" s="87">
        <f t="shared" si="0"/>
        <v>469000000000000</v>
      </c>
      <c r="E11" s="93">
        <f t="shared" si="1"/>
        <v>469000000</v>
      </c>
      <c r="F11" s="87">
        <f t="shared" si="2"/>
        <v>0.30160771704180062</v>
      </c>
      <c r="G11" s="87"/>
      <c r="H11" s="92">
        <f>W43</f>
        <v>1.3038968304297436E-2</v>
      </c>
      <c r="I11" s="91">
        <f t="shared" si="3"/>
        <v>6.1152761347154971</v>
      </c>
      <c r="J11" s="85">
        <v>469</v>
      </c>
    </row>
    <row r="12" spans="1:10" x14ac:dyDescent="0.2">
      <c r="B12" s="90" t="s">
        <v>442</v>
      </c>
      <c r="C12" s="94" t="s">
        <v>441</v>
      </c>
      <c r="D12" s="87">
        <f t="shared" si="0"/>
        <v>18000000000000</v>
      </c>
      <c r="E12" s="93">
        <f t="shared" si="1"/>
        <v>18000000</v>
      </c>
      <c r="F12" s="87">
        <f t="shared" si="2"/>
        <v>1.1575562700964629E-2</v>
      </c>
      <c r="G12" s="87"/>
      <c r="H12" s="92">
        <f>AB43</f>
        <v>2.2080342796975943E-3</v>
      </c>
      <c r="I12" s="91">
        <f t="shared" si="3"/>
        <v>3.9744617034556701E-2</v>
      </c>
      <c r="J12" s="85">
        <v>18</v>
      </c>
    </row>
    <row r="13" spans="1:10" x14ac:dyDescent="0.2">
      <c r="B13" s="90"/>
      <c r="C13" s="89"/>
      <c r="D13" s="87"/>
      <c r="E13" s="88"/>
      <c r="F13" s="87"/>
      <c r="G13" s="87"/>
      <c r="H13" s="87"/>
      <c r="I13" s="86"/>
      <c r="J13" s="85"/>
    </row>
    <row r="14" spans="1:10" x14ac:dyDescent="0.2">
      <c r="B14" s="90"/>
      <c r="C14" s="89"/>
      <c r="D14" s="87"/>
      <c r="E14" s="88">
        <f>SUM(E6:E13)</f>
        <v>1555000000</v>
      </c>
      <c r="F14" s="141">
        <f>SUM(F6:F13)</f>
        <v>1</v>
      </c>
      <c r="G14" s="87"/>
      <c r="H14" s="87"/>
      <c r="I14" s="86"/>
      <c r="J14" s="85">
        <f>SUM(J6:J13)</f>
        <v>1555</v>
      </c>
    </row>
    <row r="15" spans="1:10" x14ac:dyDescent="0.2">
      <c r="B15" s="84"/>
      <c r="C15" s="83"/>
      <c r="D15" s="82"/>
      <c r="E15" s="82"/>
      <c r="F15" s="82"/>
      <c r="G15" s="81"/>
      <c r="H15" s="80"/>
      <c r="I15" s="79"/>
      <c r="J15" s="78">
        <f>J14/7</f>
        <v>222.14285714285714</v>
      </c>
    </row>
    <row r="16" spans="1:10" x14ac:dyDescent="0.2">
      <c r="B16" s="27"/>
      <c r="C16" s="77"/>
      <c r="D16" s="27"/>
      <c r="E16" s="27"/>
      <c r="F16" s="27"/>
      <c r="G16" s="27"/>
      <c r="H16" s="27"/>
      <c r="I16" s="27"/>
      <c r="J16" s="27"/>
    </row>
    <row r="29" spans="1:43" s="139" customFormat="1" ht="27" customHeight="1" x14ac:dyDescent="0.25">
      <c r="B29" s="327" t="s">
        <v>526</v>
      </c>
      <c r="C29" s="328"/>
      <c r="D29" s="328"/>
      <c r="E29" s="328"/>
      <c r="F29" s="328"/>
      <c r="G29" s="328"/>
      <c r="H29" s="328"/>
      <c r="I29" s="329"/>
      <c r="K29" s="324" t="s">
        <v>525</v>
      </c>
      <c r="L29" s="325"/>
      <c r="M29" s="325"/>
      <c r="N29" s="325"/>
      <c r="O29" s="325"/>
      <c r="P29" s="325"/>
      <c r="Q29" s="325"/>
      <c r="R29" s="325"/>
      <c r="S29" s="326"/>
      <c r="U29" s="324" t="s">
        <v>524</v>
      </c>
      <c r="V29" s="325"/>
      <c r="W29" s="325"/>
      <c r="X29" s="325"/>
      <c r="Y29" s="325"/>
      <c r="Z29" s="325"/>
      <c r="AA29" s="325"/>
      <c r="AB29" s="326"/>
      <c r="AC29" s="140"/>
      <c r="AD29" s="324" t="s">
        <v>523</v>
      </c>
      <c r="AE29" s="325"/>
      <c r="AF29" s="325"/>
      <c r="AG29" s="325"/>
      <c r="AH29" s="325"/>
      <c r="AI29" s="325"/>
      <c r="AJ29" s="325"/>
      <c r="AK29" s="326"/>
      <c r="AL29" s="140"/>
      <c r="AM29" s="324" t="s">
        <v>522</v>
      </c>
      <c r="AN29" s="325"/>
      <c r="AO29" s="325"/>
      <c r="AP29" s="325"/>
      <c r="AQ29" s="326"/>
    </row>
    <row r="30" spans="1:43" s="27" customFormat="1" ht="34" x14ac:dyDescent="0.2">
      <c r="A30" s="28" t="s">
        <v>473</v>
      </c>
      <c r="B30" s="137" t="s">
        <v>270</v>
      </c>
      <c r="C30" s="71" t="s">
        <v>446</v>
      </c>
      <c r="D30" s="71" t="s">
        <v>444</v>
      </c>
      <c r="E30" s="71" t="s">
        <v>454</v>
      </c>
      <c r="F30" s="71" t="s">
        <v>521</v>
      </c>
      <c r="G30" s="71" t="s">
        <v>452</v>
      </c>
      <c r="H30" s="71" t="s">
        <v>450</v>
      </c>
      <c r="I30" s="138" t="s">
        <v>520</v>
      </c>
      <c r="K30" s="137" t="s">
        <v>270</v>
      </c>
      <c r="L30" s="71" t="s">
        <v>446</v>
      </c>
      <c r="M30" s="71" t="s">
        <v>444</v>
      </c>
      <c r="N30" s="71" t="s">
        <v>454</v>
      </c>
      <c r="O30" s="71" t="s">
        <v>521</v>
      </c>
      <c r="P30" s="71" t="s">
        <v>452</v>
      </c>
      <c r="Q30" s="71" t="s">
        <v>450</v>
      </c>
      <c r="R30" s="71" t="s">
        <v>520</v>
      </c>
      <c r="S30" s="138" t="s">
        <v>409</v>
      </c>
      <c r="U30" s="137" t="s">
        <v>270</v>
      </c>
      <c r="V30" s="71" t="s">
        <v>446</v>
      </c>
      <c r="W30" s="71" t="s">
        <v>444</v>
      </c>
      <c r="X30" s="71" t="s">
        <v>454</v>
      </c>
      <c r="Y30" s="71" t="s">
        <v>521</v>
      </c>
      <c r="Z30" s="71" t="s">
        <v>452</v>
      </c>
      <c r="AA30" s="71" t="s">
        <v>450</v>
      </c>
      <c r="AB30" s="138" t="s">
        <v>520</v>
      </c>
      <c r="AC30" s="28"/>
      <c r="AD30" s="137" t="s">
        <v>270</v>
      </c>
      <c r="AE30" s="71" t="s">
        <v>446</v>
      </c>
      <c r="AF30" s="71" t="s">
        <v>444</v>
      </c>
      <c r="AG30" s="71" t="s">
        <v>454</v>
      </c>
      <c r="AH30" s="71" t="s">
        <v>521</v>
      </c>
      <c r="AI30" s="71" t="s">
        <v>452</v>
      </c>
      <c r="AJ30" s="71" t="s">
        <v>450</v>
      </c>
      <c r="AK30" s="138" t="s">
        <v>520</v>
      </c>
      <c r="AL30" s="28"/>
      <c r="AM30" s="137" t="s">
        <v>270</v>
      </c>
      <c r="AN30" s="136"/>
      <c r="AO30" s="135" t="s">
        <v>519</v>
      </c>
      <c r="AP30" s="135" t="s">
        <v>518</v>
      </c>
      <c r="AQ30" s="134" t="s">
        <v>517</v>
      </c>
    </row>
    <row r="31" spans="1:43" x14ac:dyDescent="0.2">
      <c r="B31" s="115" t="s">
        <v>516</v>
      </c>
      <c r="C31">
        <v>8.1098893699465346</v>
      </c>
      <c r="D31">
        <v>4.5982230073293264</v>
      </c>
      <c r="E31">
        <v>2.6297097229999991</v>
      </c>
      <c r="F31">
        <v>3.4058483389999998</v>
      </c>
      <c r="G31">
        <v>3.3506436000000001E-2</v>
      </c>
      <c r="H31">
        <v>0.33964128700000001</v>
      </c>
      <c r="I31" s="123">
        <v>1.36637730072414</v>
      </c>
      <c r="K31" s="115" t="s">
        <v>516</v>
      </c>
      <c r="L31" s="3">
        <f t="shared" ref="L31:L71" si="4">$E$10*C31</f>
        <v>8117999259.3164816</v>
      </c>
      <c r="M31" s="3">
        <f t="shared" ref="M31:M71" si="5">$E$12*D31</f>
        <v>82768014.131927878</v>
      </c>
      <c r="N31" s="3">
        <f t="shared" ref="N31:N71" si="6">$E$6*E31</f>
        <v>42075355.567999981</v>
      </c>
      <c r="O31" s="3">
        <f t="shared" ref="O31:O71" si="7">$E$9*F31</f>
        <v>13623393.355999999</v>
      </c>
      <c r="P31" s="3">
        <f t="shared" ref="P31:P71" si="8">$E$7*G31</f>
        <v>1172725.26</v>
      </c>
      <c r="Q31" s="3">
        <f t="shared" ref="Q31:Q71" si="9">$E$8*H31</f>
        <v>4075695.4440000001</v>
      </c>
      <c r="R31" s="3">
        <f t="shared" ref="R31:R71" si="10">$E$12*I31</f>
        <v>24594791.413034521</v>
      </c>
      <c r="S31" s="122">
        <f t="shared" ref="S31:S71" si="11">SUM(L31:R31)</f>
        <v>8286309234.4894438</v>
      </c>
      <c r="T31" s="3"/>
      <c r="U31" s="115" t="s">
        <v>516</v>
      </c>
      <c r="V31" s="120">
        <f t="shared" ref="V31:AB31" si="12">L31/$S$31</f>
        <v>0.97968818560711934</v>
      </c>
      <c r="W31" s="120">
        <f t="shared" si="12"/>
        <v>9.9885258671531564E-3</v>
      </c>
      <c r="X31" s="120">
        <f t="shared" si="12"/>
        <v>5.0776955550817593E-3</v>
      </c>
      <c r="Y31" s="120">
        <f t="shared" si="12"/>
        <v>1.6440845942963889E-3</v>
      </c>
      <c r="Z31" s="120">
        <f t="shared" si="12"/>
        <v>1.4152564511095715E-4</v>
      </c>
      <c r="AA31" s="120">
        <f t="shared" si="12"/>
        <v>4.9185896020342303E-4</v>
      </c>
      <c r="AB31" s="119">
        <f t="shared" si="12"/>
        <v>2.9681237710349482E-3</v>
      </c>
      <c r="AC31" s="118"/>
      <c r="AD31" s="115" t="s">
        <v>516</v>
      </c>
      <c r="AE31" s="117">
        <f t="shared" ref="AE31:AE42" si="13">V31*$J$10</f>
        <v>980.66787379272648</v>
      </c>
      <c r="AF31" s="107">
        <f t="shared" ref="AF31:AF71" si="14">W31*$J$11</f>
        <v>4.6846186316948302</v>
      </c>
      <c r="AG31" s="107">
        <f t="shared" ref="AG31:AG71" si="15">X31*$J$6</f>
        <v>8.1243128881308149E-2</v>
      </c>
      <c r="AH31" s="107">
        <f t="shared" ref="AH31:AH71" si="16">Y31*$J$9</f>
        <v>6.5763383771855555E-3</v>
      </c>
      <c r="AI31" s="107">
        <f t="shared" ref="AI31:AI71" si="17">Z31*$J$7</f>
        <v>4.9533975788835002E-3</v>
      </c>
      <c r="AJ31" s="107">
        <f t="shared" ref="AJ31:AJ71" si="18">AA31*$J$8</f>
        <v>5.9023075224410764E-3</v>
      </c>
      <c r="AK31" s="116">
        <f t="shared" ref="AK31:AK71" si="19">AB31*$J$12</f>
        <v>5.3426227878629065E-2</v>
      </c>
      <c r="AL31" s="107"/>
      <c r="AM31" s="115" t="s">
        <v>516</v>
      </c>
      <c r="AN31" s="107">
        <f t="shared" ref="AN31:AN71" si="20">SUM(AE31:AK31)</f>
        <v>985.50459382465965</v>
      </c>
      <c r="AO31" s="107">
        <f t="shared" ref="AO31:AO71" si="21">AN31/7</f>
        <v>140.78637054637994</v>
      </c>
      <c r="AP31" s="107">
        <f t="shared" ref="AP31:AP71" si="22">109-AO31</f>
        <v>-31.786370546379942</v>
      </c>
      <c r="AQ31" s="114">
        <f t="shared" ref="AQ31:AQ71" si="23">AP31/109</f>
        <v>-0.29161807840715542</v>
      </c>
    </row>
    <row r="32" spans="1:43" x14ac:dyDescent="0.2">
      <c r="B32" s="115" t="s">
        <v>515</v>
      </c>
      <c r="C32">
        <v>8.5694300595621709</v>
      </c>
      <c r="D32">
        <v>4.6676102699917807</v>
      </c>
      <c r="E32">
        <v>2.517744956</v>
      </c>
      <c r="F32">
        <v>3.4663137730000009</v>
      </c>
      <c r="G32">
        <v>6.6189061999999993E-2</v>
      </c>
      <c r="H32">
        <v>0.43449828499999998</v>
      </c>
      <c r="I32" s="123">
        <v>1.480175370446049</v>
      </c>
      <c r="K32" s="115" t="s">
        <v>515</v>
      </c>
      <c r="L32" s="3">
        <f t="shared" si="4"/>
        <v>8577999489.6217327</v>
      </c>
      <c r="M32" s="3">
        <f t="shared" si="5"/>
        <v>84016984.859852061</v>
      </c>
      <c r="N32" s="3">
        <f t="shared" si="6"/>
        <v>40283919.296000004</v>
      </c>
      <c r="O32" s="3">
        <f t="shared" si="7"/>
        <v>13865255.092000004</v>
      </c>
      <c r="P32" s="3">
        <f t="shared" si="8"/>
        <v>2316617.17</v>
      </c>
      <c r="Q32" s="3">
        <f t="shared" si="9"/>
        <v>5213979.42</v>
      </c>
      <c r="R32" s="3">
        <f t="shared" si="10"/>
        <v>26643156.66802888</v>
      </c>
      <c r="S32" s="122">
        <f t="shared" si="11"/>
        <v>8750339402.1276131</v>
      </c>
      <c r="T32" s="3"/>
      <c r="U32" s="115" t="s">
        <v>515</v>
      </c>
      <c r="V32" s="121">
        <f t="shared" ref="V32:V71" si="24">L32/S31</f>
        <v>1.0352014686970901</v>
      </c>
      <c r="W32" s="120">
        <f t="shared" ref="W32:W71" si="25">M32/S31</f>
        <v>1.0139252890799063E-2</v>
      </c>
      <c r="X32" s="120">
        <f t="shared" ref="X32:X71" si="26">N32/S32</f>
        <v>4.6036979189864472E-3</v>
      </c>
      <c r="Y32" s="120">
        <f t="shared" ref="Y32:Y71" si="27">O32/S31</f>
        <v>1.673272707985572E-3</v>
      </c>
      <c r="Z32" s="120">
        <f t="shared" ref="Z32:Z71" si="28">P32/S31</f>
        <v>2.7957165300538495E-4</v>
      </c>
      <c r="AA32" s="120">
        <f t="shared" ref="AA32:AA71" si="29">Q32/S31</f>
        <v>6.2922819707213792E-4</v>
      </c>
      <c r="AB32" s="119">
        <f t="shared" ref="AB32:AB71" si="30">R32/S31</f>
        <v>3.2153225174284101E-3</v>
      </c>
      <c r="AC32" s="118"/>
      <c r="AD32" s="115" t="s">
        <v>515</v>
      </c>
      <c r="AE32" s="117">
        <f t="shared" si="13"/>
        <v>1036.2366701657872</v>
      </c>
      <c r="AF32" s="107">
        <f t="shared" si="14"/>
        <v>4.7553096057847606</v>
      </c>
      <c r="AG32" s="107">
        <f t="shared" si="15"/>
        <v>7.3659166703783155E-2</v>
      </c>
      <c r="AH32" s="107">
        <f t="shared" si="16"/>
        <v>6.6930908319422881E-3</v>
      </c>
      <c r="AI32" s="107">
        <f t="shared" si="17"/>
        <v>9.7850078551884739E-3</v>
      </c>
      <c r="AJ32" s="107">
        <f t="shared" si="18"/>
        <v>7.5507383648656546E-3</v>
      </c>
      <c r="AK32" s="116">
        <f t="shared" si="19"/>
        <v>5.7875805313711379E-2</v>
      </c>
      <c r="AL32" s="107"/>
      <c r="AM32" s="115" t="s">
        <v>515</v>
      </c>
      <c r="AN32" s="107">
        <f t="shared" si="20"/>
        <v>1041.1475435806415</v>
      </c>
      <c r="AO32" s="107">
        <f t="shared" si="21"/>
        <v>148.73536336866306</v>
      </c>
      <c r="AP32" s="107">
        <f t="shared" si="22"/>
        <v>-39.735363368663059</v>
      </c>
      <c r="AQ32" s="114">
        <f t="shared" si="23"/>
        <v>-0.36454461806112898</v>
      </c>
    </row>
    <row r="33" spans="2:43" x14ac:dyDescent="0.2">
      <c r="B33" s="115" t="s">
        <v>514</v>
      </c>
      <c r="C33">
        <v>8.6043259389704136</v>
      </c>
      <c r="D33">
        <v>4.8703989162453212</v>
      </c>
      <c r="E33">
        <v>2.3448067490000009</v>
      </c>
      <c r="F33">
        <v>3.6268111119999999</v>
      </c>
      <c r="G33">
        <v>0.103719431</v>
      </c>
      <c r="H33">
        <v>0.52134978600000004</v>
      </c>
      <c r="I33" s="123">
        <v>1.5865596617842681</v>
      </c>
      <c r="K33" s="115" t="s">
        <v>514</v>
      </c>
      <c r="L33" s="3">
        <f t="shared" si="4"/>
        <v>8612930264.9093838</v>
      </c>
      <c r="M33" s="3">
        <f t="shared" si="5"/>
        <v>87667180.492415786</v>
      </c>
      <c r="N33" s="3">
        <f t="shared" si="6"/>
        <v>37516907.984000012</v>
      </c>
      <c r="O33" s="3">
        <f t="shared" si="7"/>
        <v>14507244.447999999</v>
      </c>
      <c r="P33" s="3">
        <f t="shared" si="8"/>
        <v>3630180.085</v>
      </c>
      <c r="Q33" s="3">
        <f t="shared" si="9"/>
        <v>6256197.432</v>
      </c>
      <c r="R33" s="3">
        <f t="shared" si="10"/>
        <v>28558073.912116826</v>
      </c>
      <c r="S33" s="122">
        <f t="shared" si="11"/>
        <v>8791066049.2629147</v>
      </c>
      <c r="T33" s="3"/>
      <c r="U33" s="115" t="s">
        <v>514</v>
      </c>
      <c r="V33" s="121">
        <f t="shared" si="24"/>
        <v>0.98429670771572375</v>
      </c>
      <c r="W33" s="120">
        <f t="shared" si="25"/>
        <v>1.0018717727806058E-2</v>
      </c>
      <c r="X33" s="120">
        <f t="shared" si="26"/>
        <v>4.2676175760442171E-3</v>
      </c>
      <c r="Y33" s="120">
        <f t="shared" si="27"/>
        <v>1.6579064858298657E-3</v>
      </c>
      <c r="Z33" s="120">
        <f t="shared" si="28"/>
        <v>4.1486163200907781E-4</v>
      </c>
      <c r="AA33" s="120">
        <f t="shared" si="29"/>
        <v>7.1496625953489622E-4</v>
      </c>
      <c r="AB33" s="119">
        <f t="shared" si="30"/>
        <v>3.2636532824284548E-3</v>
      </c>
      <c r="AC33" s="118"/>
      <c r="AD33" s="115" t="s">
        <v>514</v>
      </c>
      <c r="AE33" s="117">
        <f t="shared" si="13"/>
        <v>985.28100442343953</v>
      </c>
      <c r="AF33" s="107">
        <f t="shared" si="14"/>
        <v>4.698778614341041</v>
      </c>
      <c r="AG33" s="107">
        <f t="shared" si="15"/>
        <v>6.8281881216707474E-2</v>
      </c>
      <c r="AH33" s="107">
        <f t="shared" si="16"/>
        <v>6.6316259433194628E-3</v>
      </c>
      <c r="AI33" s="107">
        <f t="shared" si="17"/>
        <v>1.4520157120317723E-2</v>
      </c>
      <c r="AJ33" s="107">
        <f t="shared" si="18"/>
        <v>8.5795951144187546E-3</v>
      </c>
      <c r="AK33" s="116">
        <f t="shared" si="19"/>
        <v>5.8745759083712185E-2</v>
      </c>
      <c r="AL33" s="107"/>
      <c r="AM33" s="115" t="s">
        <v>514</v>
      </c>
      <c r="AN33" s="107">
        <f t="shared" si="20"/>
        <v>990.13654205625903</v>
      </c>
      <c r="AO33" s="107">
        <f t="shared" si="21"/>
        <v>141.44807743660843</v>
      </c>
      <c r="AP33" s="107">
        <f t="shared" si="22"/>
        <v>-32.448077436608429</v>
      </c>
      <c r="AQ33" s="114">
        <f t="shared" si="23"/>
        <v>-0.29768878382209568</v>
      </c>
    </row>
    <row r="34" spans="2:43" x14ac:dyDescent="0.2">
      <c r="B34" s="115" t="s">
        <v>513</v>
      </c>
      <c r="C34">
        <v>9.0583756041167547</v>
      </c>
      <c r="D34">
        <v>4.8038164733242414</v>
      </c>
      <c r="E34">
        <v>2.3641651490000002</v>
      </c>
      <c r="F34">
        <v>3.7573214730000002</v>
      </c>
      <c r="G34">
        <v>0.14668123699999999</v>
      </c>
      <c r="H34">
        <v>0.64418416700000003</v>
      </c>
      <c r="I34" s="123">
        <v>1.5796431625590059</v>
      </c>
      <c r="K34" s="115" t="s">
        <v>513</v>
      </c>
      <c r="L34" s="3">
        <f t="shared" si="4"/>
        <v>9067433979.720871</v>
      </c>
      <c r="M34" s="3">
        <f t="shared" si="5"/>
        <v>86468696.519836351</v>
      </c>
      <c r="N34" s="3">
        <f t="shared" si="6"/>
        <v>37826642.384000003</v>
      </c>
      <c r="O34" s="3">
        <f t="shared" si="7"/>
        <v>15029285.892000001</v>
      </c>
      <c r="P34" s="3">
        <f t="shared" si="8"/>
        <v>5133843.2949999999</v>
      </c>
      <c r="Q34" s="3">
        <f t="shared" si="9"/>
        <v>7730210.0040000007</v>
      </c>
      <c r="R34" s="3">
        <f t="shared" si="10"/>
        <v>28433576.926062107</v>
      </c>
      <c r="S34" s="122">
        <f t="shared" si="11"/>
        <v>9248056234.7417698</v>
      </c>
      <c r="T34" s="3"/>
      <c r="U34" s="115" t="s">
        <v>513</v>
      </c>
      <c r="V34" s="121">
        <f t="shared" si="24"/>
        <v>1.0314373625347892</v>
      </c>
      <c r="W34" s="120">
        <f t="shared" si="25"/>
        <v>9.8359739348206007E-3</v>
      </c>
      <c r="X34" s="120">
        <f t="shared" si="26"/>
        <v>4.0902262512092329E-3</v>
      </c>
      <c r="Y34" s="120">
        <f t="shared" si="27"/>
        <v>1.7096090289595912E-3</v>
      </c>
      <c r="Z34" s="120">
        <f t="shared" si="28"/>
        <v>5.8398415689647179E-4</v>
      </c>
      <c r="AA34" s="120">
        <f t="shared" si="29"/>
        <v>8.7932566547468255E-4</v>
      </c>
      <c r="AB34" s="119">
        <f t="shared" si="30"/>
        <v>3.2343718915007033E-3</v>
      </c>
      <c r="AC34" s="118"/>
      <c r="AD34" s="115" t="s">
        <v>513</v>
      </c>
      <c r="AE34" s="117">
        <f t="shared" si="13"/>
        <v>1032.4687998973241</v>
      </c>
      <c r="AF34" s="107">
        <f t="shared" si="14"/>
        <v>4.6130717754308614</v>
      </c>
      <c r="AG34" s="107">
        <f t="shared" si="15"/>
        <v>6.5443620019347726E-2</v>
      </c>
      <c r="AH34" s="107">
        <f t="shared" si="16"/>
        <v>6.8384361158383648E-3</v>
      </c>
      <c r="AI34" s="107">
        <f t="shared" si="17"/>
        <v>2.0439445491376513E-2</v>
      </c>
      <c r="AJ34" s="107">
        <f t="shared" si="18"/>
        <v>1.0551907985696191E-2</v>
      </c>
      <c r="AK34" s="116">
        <f t="shared" si="19"/>
        <v>5.8218694047012659E-2</v>
      </c>
      <c r="AL34" s="107"/>
      <c r="AM34" s="115" t="s">
        <v>513</v>
      </c>
      <c r="AN34" s="107">
        <f t="shared" si="20"/>
        <v>1037.2433637764141</v>
      </c>
      <c r="AO34" s="107">
        <f t="shared" si="21"/>
        <v>148.17762339663059</v>
      </c>
      <c r="AP34" s="107">
        <f t="shared" si="22"/>
        <v>-39.177623396630594</v>
      </c>
      <c r="AQ34" s="114">
        <f t="shared" si="23"/>
        <v>-0.35942773758376689</v>
      </c>
    </row>
    <row r="35" spans="2:43" x14ac:dyDescent="0.2">
      <c r="B35" s="115" t="s">
        <v>512</v>
      </c>
      <c r="C35">
        <v>9.1257408671598856</v>
      </c>
      <c r="D35">
        <v>4.894845322282956</v>
      </c>
      <c r="E35">
        <v>2.4089249549999998</v>
      </c>
      <c r="F35">
        <v>3.8282546399999999</v>
      </c>
      <c r="G35">
        <v>0.2015895757</v>
      </c>
      <c r="H35">
        <v>0.71458740099999962</v>
      </c>
      <c r="I35" s="123">
        <v>1.585763084557156</v>
      </c>
      <c r="K35" s="115" t="s">
        <v>512</v>
      </c>
      <c r="L35" s="3">
        <f t="shared" si="4"/>
        <v>9134866608.0270462</v>
      </c>
      <c r="M35" s="3">
        <f t="shared" si="5"/>
        <v>88107215.801093206</v>
      </c>
      <c r="N35" s="3">
        <f t="shared" si="6"/>
        <v>38542799.279999994</v>
      </c>
      <c r="O35" s="3">
        <f t="shared" si="7"/>
        <v>15313018.560000001</v>
      </c>
      <c r="P35" s="3">
        <f t="shared" si="8"/>
        <v>7055635.1495000003</v>
      </c>
      <c r="Q35" s="3">
        <f t="shared" si="9"/>
        <v>8575048.8119999953</v>
      </c>
      <c r="R35" s="3">
        <f t="shared" si="10"/>
        <v>28543735.522028808</v>
      </c>
      <c r="S35" s="122">
        <f t="shared" si="11"/>
        <v>9321004061.1516685</v>
      </c>
      <c r="T35" s="3"/>
      <c r="U35" s="115" t="s">
        <v>512</v>
      </c>
      <c r="V35" s="121">
        <f t="shared" si="24"/>
        <v>0.98776071167371271</v>
      </c>
      <c r="W35" s="120">
        <f t="shared" si="25"/>
        <v>9.5271064064364856E-3</v>
      </c>
      <c r="X35" s="120">
        <f t="shared" si="26"/>
        <v>4.1350480084693568E-3</v>
      </c>
      <c r="Y35" s="120">
        <f t="shared" si="27"/>
        <v>1.6558094124119024E-3</v>
      </c>
      <c r="Z35" s="120">
        <f t="shared" si="28"/>
        <v>7.629316875252557E-4</v>
      </c>
      <c r="AA35" s="120">
        <f t="shared" si="29"/>
        <v>9.2722714853165397E-4</v>
      </c>
      <c r="AB35" s="119">
        <f t="shared" si="30"/>
        <v>3.0864578239478907E-3</v>
      </c>
      <c r="AC35" s="118"/>
      <c r="AD35" s="115" t="s">
        <v>512</v>
      </c>
      <c r="AE35" s="117">
        <f t="shared" si="13"/>
        <v>988.74847238538644</v>
      </c>
      <c r="AF35" s="107">
        <f t="shared" si="14"/>
        <v>4.4682129046187118</v>
      </c>
      <c r="AG35" s="107">
        <f t="shared" si="15"/>
        <v>6.6160768135509709E-2</v>
      </c>
      <c r="AH35" s="107">
        <f t="shared" si="16"/>
        <v>6.6232376496476097E-3</v>
      </c>
      <c r="AI35" s="107">
        <f t="shared" si="17"/>
        <v>2.670260906338395E-2</v>
      </c>
      <c r="AJ35" s="107">
        <f t="shared" si="18"/>
        <v>1.1126725782379847E-2</v>
      </c>
      <c r="AK35" s="116">
        <f t="shared" si="19"/>
        <v>5.5556240831062031E-2</v>
      </c>
      <c r="AL35" s="107"/>
      <c r="AM35" s="115" t="s">
        <v>512</v>
      </c>
      <c r="AN35" s="107">
        <f t="shared" si="20"/>
        <v>993.38285487146698</v>
      </c>
      <c r="AO35" s="107">
        <f t="shared" si="21"/>
        <v>141.91183641020956</v>
      </c>
      <c r="AP35" s="107">
        <f t="shared" si="22"/>
        <v>-32.91183641020956</v>
      </c>
      <c r="AQ35" s="114">
        <f t="shared" si="23"/>
        <v>-0.30194345330467487</v>
      </c>
    </row>
    <row r="36" spans="2:43" x14ac:dyDescent="0.2">
      <c r="B36" s="115" t="s">
        <v>511</v>
      </c>
      <c r="C36">
        <v>8.9773582154991853</v>
      </c>
      <c r="D36">
        <v>5.2597930091818403</v>
      </c>
      <c r="E36">
        <v>2.4404978559999999</v>
      </c>
      <c r="F36">
        <v>3.8426530740000011</v>
      </c>
      <c r="G36">
        <v>0.26465968000000001</v>
      </c>
      <c r="H36">
        <v>0.82817727100000016</v>
      </c>
      <c r="I36" s="123">
        <v>1.580868314318971</v>
      </c>
      <c r="K36" s="115" t="s">
        <v>511</v>
      </c>
      <c r="L36" s="3">
        <f t="shared" si="4"/>
        <v>8986335573.7146854</v>
      </c>
      <c r="M36" s="3">
        <f t="shared" si="5"/>
        <v>94676274.16527313</v>
      </c>
      <c r="N36" s="3">
        <f t="shared" si="6"/>
        <v>39047965.695999995</v>
      </c>
      <c r="O36" s="3">
        <f t="shared" si="7"/>
        <v>15370612.296000004</v>
      </c>
      <c r="P36" s="3">
        <f t="shared" si="8"/>
        <v>9263088.8000000007</v>
      </c>
      <c r="Q36" s="3">
        <f t="shared" si="9"/>
        <v>9938127.2520000022</v>
      </c>
      <c r="R36" s="3">
        <f t="shared" si="10"/>
        <v>28455629.65774148</v>
      </c>
      <c r="S36" s="122">
        <f t="shared" si="11"/>
        <v>9183087271.5816994</v>
      </c>
      <c r="T36" s="3"/>
      <c r="U36" s="115" t="s">
        <v>511</v>
      </c>
      <c r="V36" s="121">
        <f t="shared" si="24"/>
        <v>0.96409523209717041</v>
      </c>
      <c r="W36" s="120">
        <f t="shared" si="25"/>
        <v>1.0157304250071884E-2</v>
      </c>
      <c r="X36" s="120">
        <f t="shared" si="26"/>
        <v>4.2521610152654417E-3</v>
      </c>
      <c r="Y36" s="120">
        <f t="shared" si="27"/>
        <v>1.6490296748246313E-3</v>
      </c>
      <c r="Z36" s="120">
        <f t="shared" si="28"/>
        <v>9.9378658556828134E-4</v>
      </c>
      <c r="AA36" s="120">
        <f t="shared" si="29"/>
        <v>1.0662078019491909E-3</v>
      </c>
      <c r="AB36" s="119">
        <f t="shared" si="30"/>
        <v>3.0528502585187812E-3</v>
      </c>
      <c r="AC36" s="118"/>
      <c r="AD36" s="115" t="s">
        <v>511</v>
      </c>
      <c r="AE36" s="117">
        <f t="shared" si="13"/>
        <v>965.0593273292676</v>
      </c>
      <c r="AF36" s="107">
        <f t="shared" si="14"/>
        <v>4.7637756932837139</v>
      </c>
      <c r="AG36" s="107">
        <f t="shared" si="15"/>
        <v>6.8034576244247066E-2</v>
      </c>
      <c r="AH36" s="107">
        <f t="shared" si="16"/>
        <v>6.5961186992985251E-3</v>
      </c>
      <c r="AI36" s="107">
        <f t="shared" si="17"/>
        <v>3.4782530494889843E-2</v>
      </c>
      <c r="AJ36" s="107">
        <f t="shared" si="18"/>
        <v>1.2794493623390291E-2</v>
      </c>
      <c r="AK36" s="116">
        <f t="shared" si="19"/>
        <v>5.4951304653338064E-2</v>
      </c>
      <c r="AL36" s="107"/>
      <c r="AM36" s="115" t="s">
        <v>511</v>
      </c>
      <c r="AN36" s="107">
        <f t="shared" si="20"/>
        <v>970.00026204626647</v>
      </c>
      <c r="AO36" s="107">
        <f t="shared" si="21"/>
        <v>138.57146600660948</v>
      </c>
      <c r="AP36" s="107">
        <f t="shared" si="22"/>
        <v>-29.571466006609484</v>
      </c>
      <c r="AQ36" s="114">
        <f t="shared" si="23"/>
        <v>-0.27129785327164663</v>
      </c>
    </row>
    <row r="37" spans="2:43" x14ac:dyDescent="0.2">
      <c r="B37" s="115" t="s">
        <v>510</v>
      </c>
      <c r="C37">
        <v>9.0132749144960691</v>
      </c>
      <c r="D37">
        <v>5.5194607266144233</v>
      </c>
      <c r="E37">
        <v>2.4687655200000012</v>
      </c>
      <c r="F37">
        <v>3.9898015149999999</v>
      </c>
      <c r="G37">
        <v>0.34770433299999998</v>
      </c>
      <c r="H37">
        <v>0.95670240200000001</v>
      </c>
      <c r="I37" s="123">
        <v>1.5647353268895079</v>
      </c>
      <c r="K37" s="115" t="s">
        <v>510</v>
      </c>
      <c r="L37" s="3">
        <f t="shared" si="4"/>
        <v>9022288189.4105644</v>
      </c>
      <c r="M37" s="3">
        <f t="shared" si="5"/>
        <v>99350293.079059616</v>
      </c>
      <c r="N37" s="3">
        <f t="shared" si="6"/>
        <v>39500248.320000015</v>
      </c>
      <c r="O37" s="3">
        <f t="shared" si="7"/>
        <v>15959206.060000001</v>
      </c>
      <c r="P37" s="3">
        <f t="shared" si="8"/>
        <v>12169651.654999999</v>
      </c>
      <c r="Q37" s="3">
        <f t="shared" si="9"/>
        <v>11480428.824000001</v>
      </c>
      <c r="R37" s="3">
        <f t="shared" si="10"/>
        <v>28165235.884011142</v>
      </c>
      <c r="S37" s="122">
        <f t="shared" si="11"/>
        <v>9228913253.2326336</v>
      </c>
      <c r="T37" s="3"/>
      <c r="U37" s="115" t="s">
        <v>510</v>
      </c>
      <c r="V37" s="121">
        <f t="shared" si="24"/>
        <v>0.98248964891483181</v>
      </c>
      <c r="W37" s="120">
        <f t="shared" si="25"/>
        <v>1.0818833594940612E-2</v>
      </c>
      <c r="X37" s="120">
        <f t="shared" si="26"/>
        <v>4.2800541338021752E-3</v>
      </c>
      <c r="Y37" s="120">
        <f t="shared" si="27"/>
        <v>1.7378911457574745E-3</v>
      </c>
      <c r="Z37" s="120">
        <f t="shared" si="28"/>
        <v>1.3252244365204527E-3</v>
      </c>
      <c r="AA37" s="120">
        <f t="shared" si="29"/>
        <v>1.2501709375590641E-3</v>
      </c>
      <c r="AB37" s="119">
        <f t="shared" si="30"/>
        <v>3.0670770135412151E-3</v>
      </c>
      <c r="AC37" s="118"/>
      <c r="AD37" s="115" t="s">
        <v>510</v>
      </c>
      <c r="AE37" s="117">
        <f t="shared" si="13"/>
        <v>983.47213856374663</v>
      </c>
      <c r="AF37" s="107">
        <f t="shared" si="14"/>
        <v>5.0740329560271471</v>
      </c>
      <c r="AG37" s="107">
        <f t="shared" si="15"/>
        <v>6.8480866140834804E-2</v>
      </c>
      <c r="AH37" s="107">
        <f t="shared" si="16"/>
        <v>6.9515645830298982E-3</v>
      </c>
      <c r="AI37" s="107">
        <f t="shared" si="17"/>
        <v>4.638285527821584E-2</v>
      </c>
      <c r="AJ37" s="107">
        <f t="shared" si="18"/>
        <v>1.5002051250708769E-2</v>
      </c>
      <c r="AK37" s="116">
        <f t="shared" si="19"/>
        <v>5.5207386243741871E-2</v>
      </c>
      <c r="AL37" s="107"/>
      <c r="AM37" s="115" t="s">
        <v>510</v>
      </c>
      <c r="AN37" s="107">
        <f t="shared" si="20"/>
        <v>988.73819624327029</v>
      </c>
      <c r="AO37" s="107">
        <f t="shared" si="21"/>
        <v>141.2483137490386</v>
      </c>
      <c r="AP37" s="107">
        <f t="shared" si="22"/>
        <v>-32.248313749038601</v>
      </c>
      <c r="AQ37" s="114">
        <f t="shared" si="23"/>
        <v>-0.29585608944072112</v>
      </c>
    </row>
    <row r="38" spans="2:43" x14ac:dyDescent="0.2">
      <c r="B38" s="115" t="s">
        <v>509</v>
      </c>
      <c r="C38">
        <v>9.1985908856644425</v>
      </c>
      <c r="D38">
        <v>5.6548001585631011</v>
      </c>
      <c r="E38">
        <v>2.4695399414686818</v>
      </c>
      <c r="F38">
        <v>4.1675541693999998</v>
      </c>
      <c r="G38">
        <v>0.48089370867999998</v>
      </c>
      <c r="H38">
        <v>1.1600894230000001</v>
      </c>
      <c r="I38" s="123">
        <v>1.471662593067127</v>
      </c>
      <c r="K38" s="115" t="s">
        <v>509</v>
      </c>
      <c r="L38" s="3">
        <f t="shared" si="4"/>
        <v>9207789476.550106</v>
      </c>
      <c r="M38" s="3">
        <f t="shared" si="5"/>
        <v>101786402.85413583</v>
      </c>
      <c r="N38" s="3">
        <f t="shared" si="6"/>
        <v>39512639.063498907</v>
      </c>
      <c r="O38" s="3">
        <f t="shared" si="7"/>
        <v>16670216.6776</v>
      </c>
      <c r="P38" s="3">
        <f t="shared" si="8"/>
        <v>16831279.803799998</v>
      </c>
      <c r="Q38" s="3">
        <f t="shared" si="9"/>
        <v>13921073.076000001</v>
      </c>
      <c r="R38" s="3">
        <f t="shared" si="10"/>
        <v>26489926.675208285</v>
      </c>
      <c r="S38" s="122">
        <f t="shared" si="11"/>
        <v>9423001014.7003517</v>
      </c>
      <c r="T38" s="3"/>
      <c r="U38" s="115" t="s">
        <v>509</v>
      </c>
      <c r="V38" s="121">
        <f t="shared" si="24"/>
        <v>0.99771113064963213</v>
      </c>
      <c r="W38" s="120">
        <f t="shared" si="25"/>
        <v>1.1029077862280573E-2</v>
      </c>
      <c r="X38" s="120">
        <f t="shared" si="26"/>
        <v>4.193211801830141E-3</v>
      </c>
      <c r="Y38" s="120">
        <f t="shared" si="27"/>
        <v>1.8063033230657881E-3</v>
      </c>
      <c r="Z38" s="120">
        <f t="shared" si="28"/>
        <v>1.8237553373799959E-3</v>
      </c>
      <c r="AA38" s="120">
        <f t="shared" si="29"/>
        <v>1.5084195391178732E-3</v>
      </c>
      <c r="AB38" s="119">
        <f t="shared" si="30"/>
        <v>2.8703191750046623E-3</v>
      </c>
      <c r="AC38" s="118"/>
      <c r="AD38" s="115" t="s">
        <v>509</v>
      </c>
      <c r="AE38" s="117">
        <f t="shared" si="13"/>
        <v>998.70884178028177</v>
      </c>
      <c r="AF38" s="107">
        <f t="shared" si="14"/>
        <v>5.1726375174095889</v>
      </c>
      <c r="AG38" s="107">
        <f t="shared" si="15"/>
        <v>6.7091388829282256E-2</v>
      </c>
      <c r="AH38" s="107">
        <f t="shared" si="16"/>
        <v>7.2252132922631523E-3</v>
      </c>
      <c r="AI38" s="107">
        <f t="shared" si="17"/>
        <v>6.3831436808299863E-2</v>
      </c>
      <c r="AJ38" s="107">
        <f t="shared" si="18"/>
        <v>1.8101034469414478E-2</v>
      </c>
      <c r="AK38" s="116">
        <f t="shared" si="19"/>
        <v>5.1665745150083923E-2</v>
      </c>
      <c r="AL38" s="107"/>
      <c r="AM38" s="115" t="s">
        <v>509</v>
      </c>
      <c r="AN38" s="107">
        <f t="shared" si="20"/>
        <v>1004.0893941162407</v>
      </c>
      <c r="AO38" s="107">
        <f t="shared" si="21"/>
        <v>143.4413420166058</v>
      </c>
      <c r="AP38" s="107">
        <f t="shared" si="22"/>
        <v>-34.441342016605802</v>
      </c>
      <c r="AQ38" s="114">
        <f t="shared" si="23"/>
        <v>-0.31597561483124587</v>
      </c>
    </row>
    <row r="39" spans="2:43" x14ac:dyDescent="0.2">
      <c r="B39" s="115" t="s">
        <v>508</v>
      </c>
      <c r="C39">
        <v>9.4687677347951595</v>
      </c>
      <c r="D39">
        <v>5.901392110726313</v>
      </c>
      <c r="E39">
        <v>2.528624303054567</v>
      </c>
      <c r="F39">
        <v>4.3098198952800004</v>
      </c>
      <c r="G39">
        <v>0.59833780079999999</v>
      </c>
      <c r="H39">
        <v>1.3056496778</v>
      </c>
      <c r="I39" s="123">
        <v>1.4516692855390401</v>
      </c>
      <c r="K39" s="115" t="s">
        <v>508</v>
      </c>
      <c r="L39" s="3">
        <f t="shared" si="4"/>
        <v>9478236502.5299549</v>
      </c>
      <c r="M39" s="3">
        <f t="shared" si="5"/>
        <v>106225057.99307363</v>
      </c>
      <c r="N39" s="3">
        <f t="shared" si="6"/>
        <v>40457988.848873071</v>
      </c>
      <c r="O39" s="3">
        <f t="shared" si="7"/>
        <v>17239279.581120003</v>
      </c>
      <c r="P39" s="3">
        <f t="shared" si="8"/>
        <v>20941823.028000001</v>
      </c>
      <c r="Q39" s="3">
        <f t="shared" si="9"/>
        <v>15667796.1336</v>
      </c>
      <c r="R39" s="3">
        <f t="shared" si="10"/>
        <v>26130047.139702722</v>
      </c>
      <c r="S39" s="122">
        <f t="shared" si="11"/>
        <v>9704898495.254324</v>
      </c>
      <c r="T39" s="3"/>
      <c r="U39" s="115" t="s">
        <v>508</v>
      </c>
      <c r="V39" s="121">
        <f t="shared" si="24"/>
        <v>1.0058617724590535</v>
      </c>
      <c r="W39" s="120">
        <f t="shared" si="25"/>
        <v>1.1272954107439576E-2</v>
      </c>
      <c r="X39" s="120">
        <f t="shared" si="26"/>
        <v>4.1688214326669098E-3</v>
      </c>
      <c r="Y39" s="120">
        <f t="shared" si="27"/>
        <v>1.8294893053949445E-3</v>
      </c>
      <c r="Z39" s="120">
        <f t="shared" si="28"/>
        <v>2.2224154486802784E-3</v>
      </c>
      <c r="AA39" s="120">
        <f t="shared" si="29"/>
        <v>1.6627182899755031E-3</v>
      </c>
      <c r="AB39" s="119">
        <f t="shared" si="30"/>
        <v>2.7730069326044374E-3</v>
      </c>
      <c r="AC39" s="118"/>
      <c r="AD39" s="115" t="s">
        <v>508</v>
      </c>
      <c r="AE39" s="117">
        <f t="shared" si="13"/>
        <v>1006.8676342315125</v>
      </c>
      <c r="AF39" s="107">
        <f t="shared" si="14"/>
        <v>5.2870154763891613</v>
      </c>
      <c r="AG39" s="107">
        <f t="shared" si="15"/>
        <v>6.6701142922670556E-2</v>
      </c>
      <c r="AH39" s="107">
        <f t="shared" si="16"/>
        <v>7.3179572215797779E-3</v>
      </c>
      <c r="AI39" s="107">
        <f t="shared" si="17"/>
        <v>7.7784540703809746E-2</v>
      </c>
      <c r="AJ39" s="107">
        <f t="shared" si="18"/>
        <v>1.9952619479706037E-2</v>
      </c>
      <c r="AK39" s="116">
        <f t="shared" si="19"/>
        <v>4.9914124786879871E-2</v>
      </c>
      <c r="AL39" s="107"/>
      <c r="AM39" s="115" t="s">
        <v>508</v>
      </c>
      <c r="AN39" s="107">
        <f t="shared" si="20"/>
        <v>1012.3763200930161</v>
      </c>
      <c r="AO39" s="107">
        <f t="shared" si="21"/>
        <v>144.6251885847166</v>
      </c>
      <c r="AP39" s="107">
        <f t="shared" si="22"/>
        <v>-35.625188584716597</v>
      </c>
      <c r="AQ39" s="114">
        <f t="shared" si="23"/>
        <v>-0.32683659252033576</v>
      </c>
    </row>
    <row r="40" spans="2:43" x14ac:dyDescent="0.2">
      <c r="B40" s="115" t="s">
        <v>507</v>
      </c>
      <c r="C40">
        <v>9.1410747172805635</v>
      </c>
      <c r="D40">
        <v>6.1721407339089831</v>
      </c>
      <c r="E40">
        <v>2.661707550628281</v>
      </c>
      <c r="F40">
        <v>4.0881756204225894</v>
      </c>
      <c r="G40">
        <v>0.81538692485870412</v>
      </c>
      <c r="H40">
        <v>1.7034546409997231</v>
      </c>
      <c r="I40" s="123">
        <v>1.0993429365432661</v>
      </c>
      <c r="K40" s="115" t="s">
        <v>507</v>
      </c>
      <c r="L40" s="3">
        <f t="shared" si="4"/>
        <v>9150215791.9978447</v>
      </c>
      <c r="M40" s="3">
        <f t="shared" si="5"/>
        <v>111098533.21036169</v>
      </c>
      <c r="N40" s="3">
        <f t="shared" si="6"/>
        <v>42587320.810052499</v>
      </c>
      <c r="O40" s="3">
        <f t="shared" si="7"/>
        <v>16352702.481690358</v>
      </c>
      <c r="P40" s="3">
        <f t="shared" si="8"/>
        <v>28538542.370054644</v>
      </c>
      <c r="Q40" s="3">
        <f t="shared" si="9"/>
        <v>20441455.691996679</v>
      </c>
      <c r="R40" s="3">
        <f t="shared" si="10"/>
        <v>19788172.857778791</v>
      </c>
      <c r="S40" s="122">
        <f t="shared" si="11"/>
        <v>9389022519.4197788</v>
      </c>
      <c r="T40" s="3"/>
      <c r="U40" s="115" t="s">
        <v>507</v>
      </c>
      <c r="V40" s="121">
        <f t="shared" si="24"/>
        <v>0.94284507936608319</v>
      </c>
      <c r="W40" s="120">
        <f t="shared" si="25"/>
        <v>1.1447675961236343E-2</v>
      </c>
      <c r="X40" s="120">
        <f t="shared" si="26"/>
        <v>4.5358631020393277E-3</v>
      </c>
      <c r="Y40" s="120">
        <f t="shared" si="27"/>
        <v>1.6849946951724222E-3</v>
      </c>
      <c r="Z40" s="120">
        <f t="shared" si="28"/>
        <v>2.9406327520076522E-3</v>
      </c>
      <c r="AA40" s="120">
        <f t="shared" si="29"/>
        <v>2.106302884259172E-3</v>
      </c>
      <c r="AB40" s="119">
        <f t="shared" si="30"/>
        <v>2.0389881323802789E-3</v>
      </c>
      <c r="AC40" s="118"/>
      <c r="AD40" s="115" t="s">
        <v>507</v>
      </c>
      <c r="AE40" s="117">
        <f t="shared" si="13"/>
        <v>943.78792444544922</v>
      </c>
      <c r="AF40" s="107">
        <f t="shared" si="14"/>
        <v>5.3689600258198453</v>
      </c>
      <c r="AG40" s="107">
        <f t="shared" si="15"/>
        <v>7.2573809632629244E-2</v>
      </c>
      <c r="AH40" s="107">
        <f t="shared" si="16"/>
        <v>6.7399787806896889E-3</v>
      </c>
      <c r="AI40" s="107">
        <f t="shared" si="17"/>
        <v>0.10292214632026783</v>
      </c>
      <c r="AJ40" s="107">
        <f t="shared" si="18"/>
        <v>2.5275634611110064E-2</v>
      </c>
      <c r="AK40" s="116">
        <f t="shared" si="19"/>
        <v>3.670178638284502E-2</v>
      </c>
      <c r="AL40" s="107"/>
      <c r="AM40" s="115" t="s">
        <v>507</v>
      </c>
      <c r="AN40" s="107">
        <f t="shared" si="20"/>
        <v>949.40109782699676</v>
      </c>
      <c r="AO40" s="107">
        <f t="shared" si="21"/>
        <v>135.62872826099954</v>
      </c>
      <c r="AP40" s="107">
        <f t="shared" si="22"/>
        <v>-26.628728260999537</v>
      </c>
      <c r="AQ40" s="114">
        <f t="shared" si="23"/>
        <v>-0.24430025927522511</v>
      </c>
    </row>
    <row r="41" spans="2:43" x14ac:dyDescent="0.2">
      <c r="B41" s="115" t="s">
        <v>506</v>
      </c>
      <c r="C41">
        <v>8.2243414838899902</v>
      </c>
      <c r="D41">
        <v>6.4577196626769666</v>
      </c>
      <c r="E41">
        <v>2.6299646088717941</v>
      </c>
      <c r="F41">
        <v>4.0342812482482273</v>
      </c>
      <c r="G41">
        <v>0.83189830476425897</v>
      </c>
      <c r="H41">
        <v>1.741365949404607</v>
      </c>
      <c r="I41" s="123">
        <v>1.073604266017459</v>
      </c>
      <c r="K41" s="115" t="s">
        <v>506</v>
      </c>
      <c r="L41" s="3">
        <f t="shared" si="4"/>
        <v>8232565825.3738804</v>
      </c>
      <c r="M41" s="3">
        <f t="shared" si="5"/>
        <v>116238953.9281854</v>
      </c>
      <c r="N41" s="3">
        <f t="shared" si="6"/>
        <v>42079433.741948701</v>
      </c>
      <c r="O41" s="3">
        <f t="shared" si="7"/>
        <v>16137124.99299291</v>
      </c>
      <c r="P41" s="3">
        <f t="shared" si="8"/>
        <v>29116440.666749064</v>
      </c>
      <c r="Q41" s="3">
        <f t="shared" si="9"/>
        <v>20896391.392855283</v>
      </c>
      <c r="R41" s="3">
        <f t="shared" si="10"/>
        <v>19324876.788314261</v>
      </c>
      <c r="S41" s="122">
        <f t="shared" si="11"/>
        <v>8476359046.8849268</v>
      </c>
      <c r="T41" s="3"/>
      <c r="U41" s="115" t="s">
        <v>506</v>
      </c>
      <c r="V41" s="121">
        <f t="shared" si="24"/>
        <v>0.87682885075055028</v>
      </c>
      <c r="W41" s="120">
        <f t="shared" si="25"/>
        <v>1.23803040931857E-2</v>
      </c>
      <c r="X41" s="120">
        <f t="shared" si="26"/>
        <v>4.9643288479400772E-3</v>
      </c>
      <c r="Y41" s="120">
        <f t="shared" si="27"/>
        <v>1.7187225783744471E-3</v>
      </c>
      <c r="Z41" s="120">
        <f t="shared" si="28"/>
        <v>3.1011152232861398E-3</v>
      </c>
      <c r="AA41" s="120">
        <f t="shared" si="29"/>
        <v>2.2256194773880075E-3</v>
      </c>
      <c r="AB41" s="119">
        <f t="shared" si="30"/>
        <v>2.0582416059119748E-3</v>
      </c>
      <c r="AC41" s="118"/>
      <c r="AD41" s="115" t="s">
        <v>506</v>
      </c>
      <c r="AE41" s="117">
        <f t="shared" si="13"/>
        <v>877.70567960130086</v>
      </c>
      <c r="AF41" s="107">
        <f t="shared" si="14"/>
        <v>5.8063626197040934</v>
      </c>
      <c r="AG41" s="107">
        <f t="shared" si="15"/>
        <v>7.9429261567041234E-2</v>
      </c>
      <c r="AH41" s="107">
        <f t="shared" si="16"/>
        <v>6.8748903134977883E-3</v>
      </c>
      <c r="AI41" s="107">
        <f t="shared" si="17"/>
        <v>0.1085390328150149</v>
      </c>
      <c r="AJ41" s="107">
        <f t="shared" si="18"/>
        <v>2.6707433728656089E-2</v>
      </c>
      <c r="AK41" s="116">
        <f t="shared" si="19"/>
        <v>3.7048348906415549E-2</v>
      </c>
      <c r="AL41" s="107"/>
      <c r="AM41" s="115" t="s">
        <v>506</v>
      </c>
      <c r="AN41" s="107">
        <f t="shared" si="20"/>
        <v>883.77064118833562</v>
      </c>
      <c r="AO41" s="107">
        <f t="shared" si="21"/>
        <v>126.25294874119081</v>
      </c>
      <c r="AP41" s="107">
        <f t="shared" si="22"/>
        <v>-17.252948741190806</v>
      </c>
      <c r="AQ41" s="114">
        <f t="shared" si="23"/>
        <v>-0.15828393340542024</v>
      </c>
    </row>
    <row r="42" spans="2:43" x14ac:dyDescent="0.2">
      <c r="B42" s="115" t="s">
        <v>505</v>
      </c>
      <c r="C42">
        <v>8.6768020357129192</v>
      </c>
      <c r="D42">
        <v>6.4008249296429289</v>
      </c>
      <c r="E42">
        <v>2.694380974875219</v>
      </c>
      <c r="F42">
        <v>4.1743358637097359</v>
      </c>
      <c r="G42">
        <v>1.3805463894913681</v>
      </c>
      <c r="H42">
        <v>1.966017834511816</v>
      </c>
      <c r="I42" s="123">
        <v>1.0800425140206249</v>
      </c>
      <c r="K42" s="115" t="s">
        <v>505</v>
      </c>
      <c r="L42" s="3">
        <f t="shared" si="4"/>
        <v>8685478837.7486324</v>
      </c>
      <c r="M42" s="3">
        <f t="shared" si="5"/>
        <v>115214848.73357272</v>
      </c>
      <c r="N42" s="3">
        <f t="shared" si="6"/>
        <v>43110095.598003507</v>
      </c>
      <c r="O42" s="3">
        <f t="shared" si="7"/>
        <v>16697343.454838943</v>
      </c>
      <c r="P42" s="3">
        <f t="shared" si="8"/>
        <v>48319123.632197887</v>
      </c>
      <c r="Q42" s="3">
        <f t="shared" si="9"/>
        <v>23592214.014141791</v>
      </c>
      <c r="R42" s="3">
        <f t="shared" si="10"/>
        <v>19440765.252371248</v>
      </c>
      <c r="S42" s="122">
        <f t="shared" si="11"/>
        <v>8951853228.4337578</v>
      </c>
      <c r="T42" s="3"/>
      <c r="U42" s="115" t="s">
        <v>505</v>
      </c>
      <c r="V42" s="121">
        <f t="shared" si="24"/>
        <v>1.0246709453560203</v>
      </c>
      <c r="W42" s="120">
        <f t="shared" si="25"/>
        <v>1.359249273140622E-2</v>
      </c>
      <c r="X42" s="120">
        <f t="shared" si="26"/>
        <v>4.8157732815673265E-3</v>
      </c>
      <c r="Y42" s="120">
        <f t="shared" si="27"/>
        <v>1.9698721305317097E-3</v>
      </c>
      <c r="Z42" s="120">
        <f t="shared" si="28"/>
        <v>5.7004573974429778E-3</v>
      </c>
      <c r="AA42" s="120">
        <f t="shared" si="29"/>
        <v>2.7832957386122003E-3</v>
      </c>
      <c r="AB42" s="119">
        <f t="shared" si="30"/>
        <v>2.2935278159926173E-3</v>
      </c>
      <c r="AC42" s="118"/>
      <c r="AD42" s="115" t="s">
        <v>505</v>
      </c>
      <c r="AE42" s="117">
        <f t="shared" si="13"/>
        <v>1025.6956163013763</v>
      </c>
      <c r="AF42" s="107">
        <f t="shared" si="14"/>
        <v>6.3748790910295172</v>
      </c>
      <c r="AG42" s="107">
        <f t="shared" si="15"/>
        <v>7.7052372505077224E-2</v>
      </c>
      <c r="AH42" s="107">
        <f t="shared" si="16"/>
        <v>7.8794885221268388E-3</v>
      </c>
      <c r="AI42" s="107">
        <f t="shared" si="17"/>
        <v>0.19951600891050422</v>
      </c>
      <c r="AJ42" s="107">
        <f t="shared" si="18"/>
        <v>3.3399548863346402E-2</v>
      </c>
      <c r="AK42" s="116">
        <f t="shared" si="19"/>
        <v>4.1283500687867111E-2</v>
      </c>
      <c r="AL42" s="107"/>
      <c r="AM42" s="115" t="s">
        <v>505</v>
      </c>
      <c r="AN42" s="107">
        <f t="shared" si="20"/>
        <v>1032.4296263118945</v>
      </c>
      <c r="AO42" s="107">
        <f t="shared" si="21"/>
        <v>147.48994661598493</v>
      </c>
      <c r="AP42" s="107">
        <f t="shared" si="22"/>
        <v>-38.489946615984934</v>
      </c>
      <c r="AQ42" s="114">
        <f t="shared" si="23"/>
        <v>-0.35311877629343974</v>
      </c>
    </row>
    <row r="43" spans="2:43" x14ac:dyDescent="0.2">
      <c r="B43" s="126" t="s">
        <v>504</v>
      </c>
      <c r="C43" s="132">
        <v>8.5246034921391356</v>
      </c>
      <c r="D43" s="132">
        <v>6.4846072505705807</v>
      </c>
      <c r="E43" s="132">
        <v>2.709901445228152</v>
      </c>
      <c r="F43" s="132">
        <v>4.2888369136244977</v>
      </c>
      <c r="G43" s="132">
        <v>1.6079298766166239</v>
      </c>
      <c r="H43" s="132">
        <v>2.1335994233998332</v>
      </c>
      <c r="I43" s="133">
        <v>1.098111044177962</v>
      </c>
      <c r="J43" s="132"/>
      <c r="K43" s="126" t="s">
        <v>504</v>
      </c>
      <c r="L43" s="130">
        <f t="shared" si="4"/>
        <v>8533128095.6312752</v>
      </c>
      <c r="M43" s="130">
        <f t="shared" si="5"/>
        <v>116722930.51027045</v>
      </c>
      <c r="N43" s="130">
        <f t="shared" si="6"/>
        <v>43358423.123650432</v>
      </c>
      <c r="O43" s="130">
        <f t="shared" si="7"/>
        <v>17155347.654497992</v>
      </c>
      <c r="P43" s="130">
        <f t="shared" si="8"/>
        <v>56277545.68158184</v>
      </c>
      <c r="Q43" s="130">
        <f t="shared" si="9"/>
        <v>25603193.080798</v>
      </c>
      <c r="R43" s="130">
        <f t="shared" si="10"/>
        <v>19765998.795203317</v>
      </c>
      <c r="S43" s="131">
        <f t="shared" si="11"/>
        <v>8812011534.4772758</v>
      </c>
      <c r="T43" s="130"/>
      <c r="U43" s="126" t="s">
        <v>504</v>
      </c>
      <c r="V43" s="121">
        <f t="shared" si="24"/>
        <v>0.95322475445950272</v>
      </c>
      <c r="W43" s="120">
        <f t="shared" si="25"/>
        <v>1.3038968304297436E-2</v>
      </c>
      <c r="X43" s="120">
        <f t="shared" si="26"/>
        <v>4.9203774818052859E-3</v>
      </c>
      <c r="Y43" s="120">
        <f t="shared" si="27"/>
        <v>1.9164018015853396E-3</v>
      </c>
      <c r="Z43" s="120">
        <f t="shared" si="28"/>
        <v>6.2866921793162962E-3</v>
      </c>
      <c r="AA43" s="120">
        <f t="shared" si="29"/>
        <v>2.8600997388423012E-3</v>
      </c>
      <c r="AB43" s="119">
        <f t="shared" si="30"/>
        <v>2.2080342796975943E-3</v>
      </c>
      <c r="AC43" s="129"/>
      <c r="AD43" s="126" t="s">
        <v>504</v>
      </c>
      <c r="AE43" s="128">
        <f t="shared" ref="AE43:AE71" si="31">(V43*$J$10)</f>
        <v>954.1779792139622</v>
      </c>
      <c r="AF43" s="125">
        <f t="shared" si="14"/>
        <v>6.1152761347154971</v>
      </c>
      <c r="AG43" s="125">
        <f t="shared" si="15"/>
        <v>7.8726039708884574E-2</v>
      </c>
      <c r="AH43" s="125">
        <f t="shared" si="16"/>
        <v>7.6656072063413586E-3</v>
      </c>
      <c r="AI43" s="125">
        <f t="shared" si="17"/>
        <v>0.22003422627607036</v>
      </c>
      <c r="AJ43" s="125">
        <f t="shared" si="18"/>
        <v>3.4321196866107614E-2</v>
      </c>
      <c r="AK43" s="127">
        <f t="shared" si="19"/>
        <v>3.9744617034556701E-2</v>
      </c>
      <c r="AL43" s="125"/>
      <c r="AM43" s="126" t="s">
        <v>504</v>
      </c>
      <c r="AN43" s="125">
        <f t="shared" si="20"/>
        <v>960.67374703576968</v>
      </c>
      <c r="AO43" s="125">
        <f t="shared" si="21"/>
        <v>137.23910671939566</v>
      </c>
      <c r="AP43" s="125">
        <f t="shared" si="22"/>
        <v>-28.239106719395664</v>
      </c>
      <c r="AQ43" s="124">
        <f t="shared" si="23"/>
        <v>-0.25907437357243729</v>
      </c>
    </row>
    <row r="44" spans="2:43" x14ac:dyDescent="0.2">
      <c r="B44" s="115" t="s">
        <v>503</v>
      </c>
      <c r="C44">
        <v>8.2003071695653471</v>
      </c>
      <c r="D44">
        <v>6.6261394494982362</v>
      </c>
      <c r="E44">
        <v>2.7624340005810861</v>
      </c>
      <c r="F44">
        <v>4.4040465805392586</v>
      </c>
      <c r="G44">
        <v>1.8169172147418811</v>
      </c>
      <c r="H44">
        <v>2.3622194342878489</v>
      </c>
      <c r="I44" s="123">
        <v>1.1143365033353001</v>
      </c>
      <c r="K44" s="115" t="s">
        <v>503</v>
      </c>
      <c r="L44" s="3">
        <f t="shared" si="4"/>
        <v>8208507476.7349129</v>
      </c>
      <c r="M44" s="3">
        <f t="shared" si="5"/>
        <v>119270510.09096825</v>
      </c>
      <c r="N44" s="3">
        <f t="shared" si="6"/>
        <v>44198944.009297378</v>
      </c>
      <c r="O44" s="3">
        <f t="shared" si="7"/>
        <v>17616186.322157033</v>
      </c>
      <c r="P44" s="3">
        <f t="shared" si="8"/>
        <v>63592102.515965834</v>
      </c>
      <c r="Q44" s="3">
        <f t="shared" si="9"/>
        <v>28346633.211454187</v>
      </c>
      <c r="R44" s="3">
        <f t="shared" si="10"/>
        <v>20058057.0600354</v>
      </c>
      <c r="S44" s="122">
        <f t="shared" si="11"/>
        <v>8501589909.9447908</v>
      </c>
      <c r="T44" s="3"/>
      <c r="U44" s="115" t="s">
        <v>503</v>
      </c>
      <c r="V44" s="121">
        <f t="shared" si="24"/>
        <v>0.93151347392350381</v>
      </c>
      <c r="W44" s="120">
        <f t="shared" si="25"/>
        <v>1.3534992507025051E-2</v>
      </c>
      <c r="X44" s="120">
        <f t="shared" si="26"/>
        <v>5.1989033201419619E-3</v>
      </c>
      <c r="Y44" s="120">
        <f t="shared" si="27"/>
        <v>1.9991106744734893E-3</v>
      </c>
      <c r="Z44" s="120">
        <f t="shared" si="28"/>
        <v>7.2165251108852625E-3</v>
      </c>
      <c r="AA44" s="120">
        <f t="shared" si="29"/>
        <v>3.216817533720545E-3</v>
      </c>
      <c r="AB44" s="119">
        <f t="shared" si="30"/>
        <v>2.276217749098218E-3</v>
      </c>
      <c r="AC44" s="118"/>
      <c r="AD44" s="115" t="s">
        <v>503</v>
      </c>
      <c r="AE44" s="117">
        <f t="shared" si="31"/>
        <v>932.44498739742733</v>
      </c>
      <c r="AF44" s="107">
        <f t="shared" si="14"/>
        <v>6.3479114857947492</v>
      </c>
      <c r="AG44" s="107">
        <f t="shared" si="15"/>
        <v>8.3182453122271391E-2</v>
      </c>
      <c r="AH44" s="107">
        <f t="shared" si="16"/>
        <v>7.9964426978939573E-3</v>
      </c>
      <c r="AI44" s="107">
        <f t="shared" si="17"/>
        <v>0.25257837888098417</v>
      </c>
      <c r="AJ44" s="107">
        <f t="shared" si="18"/>
        <v>3.8601810404646539E-2</v>
      </c>
      <c r="AK44" s="116">
        <f t="shared" si="19"/>
        <v>4.0971919483767924E-2</v>
      </c>
      <c r="AL44" s="107"/>
      <c r="AM44" s="115" t="s">
        <v>503</v>
      </c>
      <c r="AN44" s="107">
        <f t="shared" si="20"/>
        <v>939.21622988781166</v>
      </c>
      <c r="AO44" s="107">
        <f t="shared" si="21"/>
        <v>134.17374712683025</v>
      </c>
      <c r="AP44" s="107">
        <f t="shared" si="22"/>
        <v>-25.17374712683025</v>
      </c>
      <c r="AQ44" s="114">
        <f t="shared" si="23"/>
        <v>-0.23095180850302982</v>
      </c>
    </row>
    <row r="45" spans="2:43" x14ac:dyDescent="0.2">
      <c r="B45" s="115" t="s">
        <v>502</v>
      </c>
      <c r="C45">
        <v>7.9057382649915651</v>
      </c>
      <c r="D45">
        <v>6.69554335242589</v>
      </c>
      <c r="E45">
        <v>2.8049809609340199</v>
      </c>
      <c r="F45">
        <v>4.5121591714540203</v>
      </c>
      <c r="G45">
        <v>2.0366081048671369</v>
      </c>
      <c r="H45">
        <v>2.633721220175866</v>
      </c>
      <c r="I45" s="123">
        <v>1.1320876344926369</v>
      </c>
      <c r="K45" s="115" t="s">
        <v>502</v>
      </c>
      <c r="L45" s="3">
        <f t="shared" si="4"/>
        <v>7913644003.2565565</v>
      </c>
      <c r="M45" s="3">
        <f t="shared" si="5"/>
        <v>120519780.34366602</v>
      </c>
      <c r="N45" s="3">
        <f t="shared" si="6"/>
        <v>44879695.374944322</v>
      </c>
      <c r="O45" s="3">
        <f t="shared" si="7"/>
        <v>18048636.685816083</v>
      </c>
      <c r="P45" s="3">
        <f t="shared" si="8"/>
        <v>71281283.670349792</v>
      </c>
      <c r="Q45" s="3">
        <f t="shared" si="9"/>
        <v>31604654.642110392</v>
      </c>
      <c r="R45" s="3">
        <f t="shared" si="10"/>
        <v>20377577.420867465</v>
      </c>
      <c r="S45" s="122">
        <f t="shared" si="11"/>
        <v>8220355631.3943119</v>
      </c>
      <c r="T45" s="3"/>
      <c r="U45" s="115" t="s">
        <v>502</v>
      </c>
      <c r="V45" s="121">
        <f t="shared" si="24"/>
        <v>0.93084282905712956</v>
      </c>
      <c r="W45" s="120">
        <f t="shared" si="25"/>
        <v>1.4176146064477564E-2</v>
      </c>
      <c r="X45" s="120">
        <f t="shared" si="26"/>
        <v>5.4595807514147615E-3</v>
      </c>
      <c r="Y45" s="120">
        <f t="shared" si="27"/>
        <v>2.1229719237225936E-3</v>
      </c>
      <c r="Z45" s="120">
        <f t="shared" si="28"/>
        <v>8.3844650736408771E-3</v>
      </c>
      <c r="AA45" s="120">
        <f t="shared" si="29"/>
        <v>3.7174993121158006E-3</v>
      </c>
      <c r="AB45" s="119">
        <f t="shared" si="30"/>
        <v>2.3969137110495839E-3</v>
      </c>
      <c r="AC45" s="118"/>
      <c r="AD45" s="115" t="s">
        <v>502</v>
      </c>
      <c r="AE45" s="117">
        <f t="shared" si="31"/>
        <v>931.77367188618666</v>
      </c>
      <c r="AF45" s="107">
        <f t="shared" si="14"/>
        <v>6.6486125042399777</v>
      </c>
      <c r="AG45" s="107">
        <f t="shared" si="15"/>
        <v>8.7353292022636184E-2</v>
      </c>
      <c r="AH45" s="107">
        <f t="shared" si="16"/>
        <v>8.4918876948903745E-3</v>
      </c>
      <c r="AI45" s="107">
        <f t="shared" si="17"/>
        <v>0.2934562775774307</v>
      </c>
      <c r="AJ45" s="107">
        <f t="shared" si="18"/>
        <v>4.4609991745389606E-2</v>
      </c>
      <c r="AK45" s="116">
        <f t="shared" si="19"/>
        <v>4.3144446798892511E-2</v>
      </c>
      <c r="AL45" s="107"/>
      <c r="AM45" s="115" t="s">
        <v>502</v>
      </c>
      <c r="AN45" s="107">
        <f t="shared" si="20"/>
        <v>938.89934028626578</v>
      </c>
      <c r="AO45" s="107">
        <f t="shared" si="21"/>
        <v>134.12847718375227</v>
      </c>
      <c r="AP45" s="107">
        <f t="shared" si="22"/>
        <v>-25.128477183752267</v>
      </c>
      <c r="AQ45" s="114">
        <f t="shared" si="23"/>
        <v>-0.23053648792433273</v>
      </c>
    </row>
    <row r="46" spans="2:43" x14ac:dyDescent="0.2">
      <c r="B46" s="115" t="s">
        <v>501</v>
      </c>
      <c r="C46">
        <v>7.6284640384177784</v>
      </c>
      <c r="D46">
        <v>6.8410112193535424</v>
      </c>
      <c r="E46">
        <v>2.8364109772869548</v>
      </c>
      <c r="F46">
        <v>4.6195503273687821</v>
      </c>
      <c r="G46">
        <v>2.2747809289923939</v>
      </c>
      <c r="H46">
        <v>2.8141636490638828</v>
      </c>
      <c r="I46" s="123">
        <v>1.1500863876499741</v>
      </c>
      <c r="K46" s="115" t="s">
        <v>501</v>
      </c>
      <c r="L46" s="3">
        <f t="shared" si="4"/>
        <v>7636092502.4561958</v>
      </c>
      <c r="M46" s="3">
        <f t="shared" si="5"/>
        <v>123138201.94836377</v>
      </c>
      <c r="N46" s="3">
        <f t="shared" si="6"/>
        <v>45382575.636591278</v>
      </c>
      <c r="O46" s="3">
        <f t="shared" si="7"/>
        <v>18478201.309475128</v>
      </c>
      <c r="P46" s="3">
        <f t="shared" si="8"/>
        <v>79617332.514733791</v>
      </c>
      <c r="Q46" s="3">
        <f t="shared" si="9"/>
        <v>33769963.788766593</v>
      </c>
      <c r="R46" s="3">
        <f t="shared" si="10"/>
        <v>20701554.977699533</v>
      </c>
      <c r="S46" s="122">
        <f t="shared" si="11"/>
        <v>7957180332.6318245</v>
      </c>
      <c r="T46" s="3"/>
      <c r="U46" s="115" t="s">
        <v>501</v>
      </c>
      <c r="V46" s="121">
        <f t="shared" si="24"/>
        <v>0.92892483547709781</v>
      </c>
      <c r="W46" s="120">
        <f t="shared" si="25"/>
        <v>1.4979668455959178E-2</v>
      </c>
      <c r="X46" s="120">
        <f t="shared" si="26"/>
        <v>5.7033488923809604E-3</v>
      </c>
      <c r="Y46" s="120">
        <f t="shared" si="27"/>
        <v>2.2478591119470715E-3</v>
      </c>
      <c r="Z46" s="120">
        <f t="shared" si="28"/>
        <v>9.6853878451034041E-3</v>
      </c>
      <c r="AA46" s="120">
        <f t="shared" si="29"/>
        <v>4.1080903677446655E-3</v>
      </c>
      <c r="AB46" s="119">
        <f t="shared" si="30"/>
        <v>2.5183283918567157E-3</v>
      </c>
      <c r="AC46" s="118"/>
      <c r="AD46" s="115" t="s">
        <v>501</v>
      </c>
      <c r="AE46" s="117">
        <f t="shared" si="31"/>
        <v>929.85376031257488</v>
      </c>
      <c r="AF46" s="107">
        <f t="shared" si="14"/>
        <v>7.0254645058448544</v>
      </c>
      <c r="AG46" s="107">
        <f t="shared" si="15"/>
        <v>9.1253582278095366E-2</v>
      </c>
      <c r="AH46" s="107">
        <f t="shared" si="16"/>
        <v>8.9914364477882858E-3</v>
      </c>
      <c r="AI46" s="107">
        <f t="shared" si="17"/>
        <v>0.33898857457861914</v>
      </c>
      <c r="AJ46" s="107">
        <f t="shared" si="18"/>
        <v>4.9297084412935982E-2</v>
      </c>
      <c r="AK46" s="116">
        <f t="shared" si="19"/>
        <v>4.5329911053420879E-2</v>
      </c>
      <c r="AL46" s="107"/>
      <c r="AM46" s="115" t="s">
        <v>501</v>
      </c>
      <c r="AN46" s="107">
        <f t="shared" si="20"/>
        <v>937.41308540719058</v>
      </c>
      <c r="AO46" s="107">
        <f t="shared" si="21"/>
        <v>133.91615505817009</v>
      </c>
      <c r="AP46" s="107">
        <f t="shared" si="22"/>
        <v>-24.916155058170091</v>
      </c>
      <c r="AQ46" s="114">
        <f t="shared" si="23"/>
        <v>-0.22858857851532194</v>
      </c>
    </row>
    <row r="47" spans="2:43" x14ac:dyDescent="0.2">
      <c r="B47" s="115" t="s">
        <v>500</v>
      </c>
      <c r="C47">
        <v>7.5568546466737141</v>
      </c>
      <c r="D47">
        <v>6.9352883481120173</v>
      </c>
      <c r="E47">
        <v>2.78892917592432</v>
      </c>
      <c r="F47">
        <v>4.6800214294592912</v>
      </c>
      <c r="G47">
        <v>2.5682697049363878</v>
      </c>
      <c r="H47">
        <v>2.961941986005876</v>
      </c>
      <c r="I47" s="123">
        <v>1.102867235294527</v>
      </c>
      <c r="K47" s="115" t="s">
        <v>500</v>
      </c>
      <c r="L47" s="3">
        <f t="shared" si="4"/>
        <v>7564411501.3203878</v>
      </c>
      <c r="M47" s="3">
        <f t="shared" si="5"/>
        <v>124835190.26601632</v>
      </c>
      <c r="N47" s="3">
        <f t="shared" si="6"/>
        <v>44622866.814789116</v>
      </c>
      <c r="O47" s="3">
        <f t="shared" si="7"/>
        <v>18720085.717837166</v>
      </c>
      <c r="P47" s="3">
        <f t="shared" si="8"/>
        <v>89889439.67277357</v>
      </c>
      <c r="Q47" s="3">
        <f t="shared" si="9"/>
        <v>35543303.832070515</v>
      </c>
      <c r="R47" s="3">
        <f t="shared" si="10"/>
        <v>19851610.235301487</v>
      </c>
      <c r="S47" s="122">
        <f t="shared" si="11"/>
        <v>7897873997.8591747</v>
      </c>
      <c r="T47" s="3"/>
      <c r="U47" s="115" t="s">
        <v>500</v>
      </c>
      <c r="V47" s="121">
        <f t="shared" si="24"/>
        <v>0.95063969711724139</v>
      </c>
      <c r="W47" s="120">
        <f t="shared" si="25"/>
        <v>1.5688370132077589E-2</v>
      </c>
      <c r="X47" s="120">
        <f t="shared" si="26"/>
        <v>5.6499846448404651E-3</v>
      </c>
      <c r="Y47" s="120">
        <f t="shared" si="27"/>
        <v>2.3526029240618614E-3</v>
      </c>
      <c r="Z47" s="120">
        <f t="shared" si="28"/>
        <v>1.1296644780581814E-2</v>
      </c>
      <c r="AA47" s="120">
        <f t="shared" si="29"/>
        <v>4.4668214551214806E-3</v>
      </c>
      <c r="AB47" s="119">
        <f t="shared" si="30"/>
        <v>2.4948046173958707E-3</v>
      </c>
      <c r="AC47" s="118"/>
      <c r="AD47" s="115" t="s">
        <v>500</v>
      </c>
      <c r="AE47" s="117">
        <f t="shared" si="31"/>
        <v>951.59033681435858</v>
      </c>
      <c r="AF47" s="107">
        <f t="shared" si="14"/>
        <v>7.3578455919443888</v>
      </c>
      <c r="AG47" s="107">
        <f t="shared" si="15"/>
        <v>9.0399754317447442E-2</v>
      </c>
      <c r="AH47" s="107">
        <f t="shared" si="16"/>
        <v>9.4104116962474456E-3</v>
      </c>
      <c r="AI47" s="107">
        <f t="shared" si="17"/>
        <v>0.39538256732036348</v>
      </c>
      <c r="AJ47" s="107">
        <f t="shared" si="18"/>
        <v>5.3601857461457764E-2</v>
      </c>
      <c r="AK47" s="116">
        <f t="shared" si="19"/>
        <v>4.4906483113125673E-2</v>
      </c>
      <c r="AL47" s="107"/>
      <c r="AM47" s="115" t="s">
        <v>500</v>
      </c>
      <c r="AN47" s="107">
        <f t="shared" si="20"/>
        <v>959.54188348021148</v>
      </c>
      <c r="AO47" s="107">
        <f t="shared" si="21"/>
        <v>137.07741192574449</v>
      </c>
      <c r="AP47" s="107">
        <f t="shared" si="22"/>
        <v>-28.077411925744485</v>
      </c>
      <c r="AQ47" s="114">
        <f t="shared" si="23"/>
        <v>-0.25759093509857328</v>
      </c>
    </row>
    <row r="48" spans="2:43" x14ac:dyDescent="0.2">
      <c r="B48" s="115" t="s">
        <v>499</v>
      </c>
      <c r="C48">
        <v>7.4435778959296517</v>
      </c>
      <c r="D48">
        <v>7.0036232148704904</v>
      </c>
      <c r="E48">
        <v>2.8133235955616862</v>
      </c>
      <c r="F48">
        <v>4.7404166035498019</v>
      </c>
      <c r="G48">
        <v>2.8522439548803811</v>
      </c>
      <c r="H48">
        <v>3.1105301379478689</v>
      </c>
      <c r="I48" s="123">
        <v>1.0555511129390791</v>
      </c>
      <c r="K48" s="115" t="s">
        <v>499</v>
      </c>
      <c r="L48" s="3">
        <f t="shared" si="4"/>
        <v>7451021473.8255816</v>
      </c>
      <c r="M48" s="3">
        <f t="shared" si="5"/>
        <v>126065217.86766882</v>
      </c>
      <c r="N48" s="3">
        <f t="shared" si="6"/>
        <v>45013177.528986983</v>
      </c>
      <c r="O48" s="3">
        <f t="shared" si="7"/>
        <v>18961666.414199207</v>
      </c>
      <c r="P48" s="3">
        <f t="shared" si="8"/>
        <v>99828538.420813337</v>
      </c>
      <c r="Q48" s="3">
        <f t="shared" si="9"/>
        <v>37326361.65537443</v>
      </c>
      <c r="R48" s="3">
        <f t="shared" si="10"/>
        <v>18999920.032903425</v>
      </c>
      <c r="S48" s="122">
        <f t="shared" si="11"/>
        <v>7797216355.7455282</v>
      </c>
      <c r="T48" s="3"/>
      <c r="U48" s="115" t="s">
        <v>499</v>
      </c>
      <c r="V48" s="121">
        <f t="shared" si="24"/>
        <v>0.94342116319471303</v>
      </c>
      <c r="W48" s="120">
        <f t="shared" si="25"/>
        <v>1.596191809363387E-2</v>
      </c>
      <c r="X48" s="120">
        <f t="shared" si="26"/>
        <v>5.7729804426701796E-3</v>
      </c>
      <c r="Y48" s="120">
        <f t="shared" si="27"/>
        <v>2.4008570432168231E-3</v>
      </c>
      <c r="Z48" s="120">
        <f t="shared" si="28"/>
        <v>1.2639925434094442E-2</v>
      </c>
      <c r="AA48" s="120">
        <f t="shared" si="29"/>
        <v>4.7261277738151111E-3</v>
      </c>
      <c r="AB48" s="119">
        <f t="shared" si="30"/>
        <v>2.4057005768962142E-3</v>
      </c>
      <c r="AC48" s="118"/>
      <c r="AD48" s="115" t="s">
        <v>499</v>
      </c>
      <c r="AE48" s="117">
        <f t="shared" si="31"/>
        <v>944.36458435790769</v>
      </c>
      <c r="AF48" s="107">
        <f t="shared" si="14"/>
        <v>7.4861395859142847</v>
      </c>
      <c r="AG48" s="107">
        <f t="shared" si="15"/>
        <v>9.2367687082722874E-2</v>
      </c>
      <c r="AH48" s="107">
        <f t="shared" si="16"/>
        <v>9.6034281728672923E-3</v>
      </c>
      <c r="AI48" s="107">
        <f t="shared" si="17"/>
        <v>0.44239739019330548</v>
      </c>
      <c r="AJ48" s="107">
        <f t="shared" si="18"/>
        <v>5.6713533285781333E-2</v>
      </c>
      <c r="AK48" s="116">
        <f t="shared" si="19"/>
        <v>4.3302610384131857E-2</v>
      </c>
      <c r="AL48" s="107"/>
      <c r="AM48" s="115" t="s">
        <v>499</v>
      </c>
      <c r="AN48" s="107">
        <f t="shared" si="20"/>
        <v>952.49510859294082</v>
      </c>
      <c r="AO48" s="107">
        <f t="shared" si="21"/>
        <v>136.07072979899155</v>
      </c>
      <c r="AP48" s="107">
        <f t="shared" si="22"/>
        <v>-27.07072979899155</v>
      </c>
      <c r="AQ48" s="114">
        <f t="shared" si="23"/>
        <v>-0.24835531925680321</v>
      </c>
    </row>
    <row r="49" spans="2:43" x14ac:dyDescent="0.2">
      <c r="B49" s="115" t="s">
        <v>498</v>
      </c>
      <c r="C49">
        <v>7.3600640241855846</v>
      </c>
      <c r="D49">
        <v>7.0427757086289606</v>
      </c>
      <c r="E49">
        <v>2.8521783421990521</v>
      </c>
      <c r="F49">
        <v>4.8007646286403114</v>
      </c>
      <c r="G49">
        <v>3.1159555698243731</v>
      </c>
      <c r="H49">
        <v>3.264519045889863</v>
      </c>
      <c r="I49" s="123">
        <v>1.008208245583631</v>
      </c>
      <c r="K49" s="115" t="s">
        <v>498</v>
      </c>
      <c r="L49" s="3">
        <f t="shared" si="4"/>
        <v>7367424088.2097702</v>
      </c>
      <c r="M49" s="3">
        <f t="shared" si="5"/>
        <v>126769962.75532129</v>
      </c>
      <c r="N49" s="3">
        <f t="shared" si="6"/>
        <v>45634853.475184835</v>
      </c>
      <c r="O49" s="3">
        <f t="shared" si="7"/>
        <v>19203058.514561247</v>
      </c>
      <c r="P49" s="3">
        <f t="shared" si="8"/>
        <v>109058444.94385305</v>
      </c>
      <c r="Q49" s="3">
        <f t="shared" si="9"/>
        <v>39174228.550678357</v>
      </c>
      <c r="R49" s="3">
        <f t="shared" si="10"/>
        <v>18147748.420505356</v>
      </c>
      <c r="S49" s="122">
        <f t="shared" si="11"/>
        <v>7725412384.869875</v>
      </c>
      <c r="T49" s="3"/>
      <c r="U49" s="115" t="s">
        <v>498</v>
      </c>
      <c r="V49" s="121">
        <f t="shared" si="24"/>
        <v>0.94487875570888102</v>
      </c>
      <c r="W49" s="120">
        <f t="shared" si="25"/>
        <v>1.6258361570524897E-2</v>
      </c>
      <c r="X49" s="120">
        <f t="shared" si="26"/>
        <v>5.9071090579656477E-3</v>
      </c>
      <c r="Y49" s="120">
        <f t="shared" si="27"/>
        <v>2.4628095000097188E-3</v>
      </c>
      <c r="Z49" s="120">
        <f t="shared" si="28"/>
        <v>1.3986843505181338E-2</v>
      </c>
      <c r="AA49" s="120">
        <f t="shared" si="29"/>
        <v>5.0241299924699504E-3</v>
      </c>
      <c r="AB49" s="119">
        <f t="shared" si="30"/>
        <v>2.3274650327142505E-3</v>
      </c>
      <c r="AC49" s="118"/>
      <c r="AD49" s="115" t="s">
        <v>498</v>
      </c>
      <c r="AE49" s="117">
        <f t="shared" si="31"/>
        <v>945.82363446458987</v>
      </c>
      <c r="AF49" s="107">
        <f t="shared" si="14"/>
        <v>7.6251715765761769</v>
      </c>
      <c r="AG49" s="107">
        <f t="shared" si="15"/>
        <v>9.4513744927450363E-2</v>
      </c>
      <c r="AH49" s="107">
        <f t="shared" si="16"/>
        <v>9.8512380000388752E-3</v>
      </c>
      <c r="AI49" s="107">
        <f t="shared" si="17"/>
        <v>0.48953952268134682</v>
      </c>
      <c r="AJ49" s="107">
        <f t="shared" si="18"/>
        <v>6.0289559909639405E-2</v>
      </c>
      <c r="AK49" s="116">
        <f t="shared" si="19"/>
        <v>4.1894370588856505E-2</v>
      </c>
      <c r="AL49" s="107"/>
      <c r="AM49" s="115" t="s">
        <v>498</v>
      </c>
      <c r="AN49" s="107">
        <f t="shared" si="20"/>
        <v>954.14489447727317</v>
      </c>
      <c r="AO49" s="107">
        <f t="shared" si="21"/>
        <v>136.30641349675332</v>
      </c>
      <c r="AP49" s="107">
        <f t="shared" si="22"/>
        <v>-27.306413496753322</v>
      </c>
      <c r="AQ49" s="114">
        <f t="shared" si="23"/>
        <v>-0.25051755501608552</v>
      </c>
    </row>
    <row r="50" spans="2:43" x14ac:dyDescent="0.2">
      <c r="B50" s="115" t="s">
        <v>497</v>
      </c>
      <c r="C50">
        <v>7.2734651304415214</v>
      </c>
      <c r="D50">
        <v>7.0990886033874308</v>
      </c>
      <c r="E50">
        <v>2.8750216138364171</v>
      </c>
      <c r="F50">
        <v>4.8611241277308217</v>
      </c>
      <c r="G50">
        <v>3.3905618077683668</v>
      </c>
      <c r="H50">
        <v>3.4131895948318571</v>
      </c>
      <c r="I50" s="123">
        <v>0.9609700062281834</v>
      </c>
      <c r="K50" s="115" t="s">
        <v>497</v>
      </c>
      <c r="L50" s="3">
        <f t="shared" si="4"/>
        <v>7280738595.5719633</v>
      </c>
      <c r="M50" s="3">
        <f t="shared" si="5"/>
        <v>127783594.86097376</v>
      </c>
      <c r="N50" s="3">
        <f t="shared" si="6"/>
        <v>46000345.821382672</v>
      </c>
      <c r="O50" s="3">
        <f t="shared" si="7"/>
        <v>19444496.510923285</v>
      </c>
      <c r="P50" s="3">
        <f t="shared" si="8"/>
        <v>118669663.27189283</v>
      </c>
      <c r="Q50" s="3">
        <f t="shared" si="9"/>
        <v>40958275.137982287</v>
      </c>
      <c r="R50" s="3">
        <f t="shared" si="10"/>
        <v>17297460.112107303</v>
      </c>
      <c r="S50" s="122">
        <f t="shared" si="11"/>
        <v>7650892431.2872248</v>
      </c>
      <c r="T50" s="3"/>
      <c r="U50" s="115" t="s">
        <v>497</v>
      </c>
      <c r="V50" s="121">
        <f t="shared" si="24"/>
        <v>0.94244012265690824</v>
      </c>
      <c r="W50" s="120">
        <f t="shared" si="25"/>
        <v>1.6540682683973785E-2</v>
      </c>
      <c r="X50" s="120">
        <f t="shared" si="26"/>
        <v>6.0124157063391548E-3</v>
      </c>
      <c r="Y50" s="120">
        <f t="shared" si="27"/>
        <v>2.5169525641123174E-3</v>
      </c>
      <c r="Z50" s="120">
        <f t="shared" si="28"/>
        <v>1.5360948692435617E-2</v>
      </c>
      <c r="AA50" s="120">
        <f t="shared" si="29"/>
        <v>5.3017590644350021E-3</v>
      </c>
      <c r="AB50" s="119">
        <f t="shared" si="30"/>
        <v>2.2390338858782693E-3</v>
      </c>
      <c r="AC50" s="118"/>
      <c r="AD50" s="115" t="s">
        <v>497</v>
      </c>
      <c r="AE50" s="117">
        <f t="shared" si="31"/>
        <v>943.38256277956521</v>
      </c>
      <c r="AF50" s="107">
        <f t="shared" si="14"/>
        <v>7.7575801787837051</v>
      </c>
      <c r="AG50" s="107">
        <f t="shared" si="15"/>
        <v>9.6198651301426477E-2</v>
      </c>
      <c r="AH50" s="107">
        <f t="shared" si="16"/>
        <v>1.006781025644927E-2</v>
      </c>
      <c r="AI50" s="107">
        <f t="shared" si="17"/>
        <v>0.53763320423524663</v>
      </c>
      <c r="AJ50" s="107">
        <f t="shared" si="18"/>
        <v>6.3621108773220025E-2</v>
      </c>
      <c r="AK50" s="116">
        <f t="shared" si="19"/>
        <v>4.0302609945808844E-2</v>
      </c>
      <c r="AL50" s="107"/>
      <c r="AM50" s="115" t="s">
        <v>497</v>
      </c>
      <c r="AN50" s="107">
        <f t="shared" si="20"/>
        <v>951.88796634286098</v>
      </c>
      <c r="AO50" s="107">
        <f t="shared" si="21"/>
        <v>135.98399519183729</v>
      </c>
      <c r="AP50" s="107">
        <f t="shared" si="22"/>
        <v>-26.983995191837295</v>
      </c>
      <c r="AQ50" s="114">
        <f t="shared" si="23"/>
        <v>-0.24755958891593849</v>
      </c>
    </row>
    <row r="51" spans="2:43" x14ac:dyDescent="0.2">
      <c r="B51" s="115" t="s">
        <v>496</v>
      </c>
      <c r="C51">
        <v>7.1755832766974574</v>
      </c>
      <c r="D51">
        <v>7.1340937591459026</v>
      </c>
      <c r="E51">
        <v>2.9142782154737841</v>
      </c>
      <c r="F51">
        <v>4.9214235378213314</v>
      </c>
      <c r="G51">
        <v>3.6556134197123602</v>
      </c>
      <c r="H51">
        <v>3.5834454707738508</v>
      </c>
      <c r="I51" s="123">
        <v>0.9145654018727355</v>
      </c>
      <c r="K51" s="115" t="s">
        <v>496</v>
      </c>
      <c r="L51" s="3">
        <f t="shared" si="4"/>
        <v>7182758859.9741545</v>
      </c>
      <c r="M51" s="3">
        <f t="shared" si="5"/>
        <v>128413687.66462624</v>
      </c>
      <c r="N51" s="3">
        <f t="shared" si="6"/>
        <v>46628451.447580546</v>
      </c>
      <c r="O51" s="3">
        <f t="shared" si="7"/>
        <v>19685694.151285324</v>
      </c>
      <c r="P51" s="3">
        <f t="shared" si="8"/>
        <v>127946469.6899326</v>
      </c>
      <c r="Q51" s="3">
        <f t="shared" si="9"/>
        <v>43001345.649286211</v>
      </c>
      <c r="R51" s="3">
        <f t="shared" si="10"/>
        <v>16462177.233709238</v>
      </c>
      <c r="S51" s="122">
        <f t="shared" si="11"/>
        <v>7564896685.8105745</v>
      </c>
      <c r="T51" s="3"/>
      <c r="U51" s="115" t="s">
        <v>496</v>
      </c>
      <c r="V51" s="121">
        <f t="shared" si="24"/>
        <v>0.93881320701900006</v>
      </c>
      <c r="W51" s="120">
        <f t="shared" si="25"/>
        <v>1.6784144963206765E-2</v>
      </c>
      <c r="X51" s="120">
        <f t="shared" si="26"/>
        <v>6.1637922346039721E-3</v>
      </c>
      <c r="Y51" s="120">
        <f t="shared" si="27"/>
        <v>2.5729931936807147E-3</v>
      </c>
      <c r="Z51" s="120">
        <f t="shared" si="28"/>
        <v>1.6723077842097728E-2</v>
      </c>
      <c r="AA51" s="120">
        <f t="shared" si="29"/>
        <v>5.6204352675824311E-3</v>
      </c>
      <c r="AB51" s="119">
        <f t="shared" si="30"/>
        <v>2.1516675840833328E-3</v>
      </c>
      <c r="AC51" s="118"/>
      <c r="AD51" s="115" t="s">
        <v>496</v>
      </c>
      <c r="AE51" s="117">
        <f t="shared" si="31"/>
        <v>939.75202022601911</v>
      </c>
      <c r="AF51" s="107">
        <f t="shared" si="14"/>
        <v>7.8717639877439725</v>
      </c>
      <c r="AG51" s="107">
        <f t="shared" si="15"/>
        <v>9.8620675753663553E-2</v>
      </c>
      <c r="AH51" s="107">
        <f t="shared" si="16"/>
        <v>1.0291972774722859E-2</v>
      </c>
      <c r="AI51" s="107">
        <f t="shared" si="17"/>
        <v>0.5853077244734205</v>
      </c>
      <c r="AJ51" s="107">
        <f t="shared" si="18"/>
        <v>6.7445223210989169E-2</v>
      </c>
      <c r="AK51" s="116">
        <f t="shared" si="19"/>
        <v>3.8730016513499992E-2</v>
      </c>
      <c r="AL51" s="107"/>
      <c r="AM51" s="115" t="s">
        <v>496</v>
      </c>
      <c r="AN51" s="107">
        <f t="shared" si="20"/>
        <v>948.42417982648919</v>
      </c>
      <c r="AO51" s="107">
        <f t="shared" si="21"/>
        <v>135.48916854664131</v>
      </c>
      <c r="AP51" s="107">
        <f t="shared" si="22"/>
        <v>-26.489168546641309</v>
      </c>
      <c r="AQ51" s="114">
        <f t="shared" si="23"/>
        <v>-0.24301989492331477</v>
      </c>
    </row>
    <row r="52" spans="2:43" x14ac:dyDescent="0.2">
      <c r="B52" s="115" t="s">
        <v>495</v>
      </c>
      <c r="C52">
        <v>7.2348850559722644</v>
      </c>
      <c r="D52">
        <v>7.1092096787310588</v>
      </c>
      <c r="E52">
        <v>2.9473787293691611</v>
      </c>
      <c r="F52">
        <v>4.9500856863724252</v>
      </c>
      <c r="G52">
        <v>3.9107099131403329</v>
      </c>
      <c r="H52">
        <v>3.769514175322255</v>
      </c>
      <c r="I52" s="123">
        <v>0.90305008531155573</v>
      </c>
      <c r="K52" s="115" t="s">
        <v>495</v>
      </c>
      <c r="L52" s="3">
        <f t="shared" si="4"/>
        <v>7242119941.0282364</v>
      </c>
      <c r="M52" s="3">
        <f t="shared" si="5"/>
        <v>127965774.21715906</v>
      </c>
      <c r="N52" s="3">
        <f t="shared" si="6"/>
        <v>47158059.669906579</v>
      </c>
      <c r="O52" s="3">
        <f t="shared" si="7"/>
        <v>19800342.745489702</v>
      </c>
      <c r="P52" s="3">
        <f t="shared" si="8"/>
        <v>136874846.95991164</v>
      </c>
      <c r="Q52" s="3">
        <f t="shared" si="9"/>
        <v>45234170.103867061</v>
      </c>
      <c r="R52" s="3">
        <f t="shared" si="10"/>
        <v>16254901.535608003</v>
      </c>
      <c r="S52" s="122">
        <f t="shared" si="11"/>
        <v>7635408036.2601795</v>
      </c>
      <c r="T52" s="3"/>
      <c r="U52" s="115" t="s">
        <v>495</v>
      </c>
      <c r="V52" s="121">
        <f t="shared" si="24"/>
        <v>0.95733229967465805</v>
      </c>
      <c r="W52" s="120">
        <f t="shared" si="25"/>
        <v>1.6915733225700703E-2</v>
      </c>
      <c r="X52" s="120">
        <f t="shared" si="26"/>
        <v>6.1762330769953959E-3</v>
      </c>
      <c r="Y52" s="120">
        <f t="shared" si="27"/>
        <v>2.6173976417455998E-3</v>
      </c>
      <c r="Z52" s="120">
        <f t="shared" si="28"/>
        <v>1.8093419202491804E-2</v>
      </c>
      <c r="AA52" s="120">
        <f t="shared" si="29"/>
        <v>5.9794828644140624E-3</v>
      </c>
      <c r="AB52" s="119">
        <f t="shared" si="30"/>
        <v>2.1487274989620427E-3</v>
      </c>
      <c r="AC52" s="118"/>
      <c r="AD52" s="115" t="s">
        <v>495</v>
      </c>
      <c r="AE52" s="117">
        <f t="shared" si="31"/>
        <v>958.28963197433268</v>
      </c>
      <c r="AF52" s="107">
        <f t="shared" si="14"/>
        <v>7.9334788828536302</v>
      </c>
      <c r="AG52" s="107">
        <f t="shared" si="15"/>
        <v>9.8819729231926334E-2</v>
      </c>
      <c r="AH52" s="107">
        <f t="shared" si="16"/>
        <v>1.0469590566982399E-2</v>
      </c>
      <c r="AI52" s="107">
        <f t="shared" si="17"/>
        <v>0.63326967208721319</v>
      </c>
      <c r="AJ52" s="107">
        <f t="shared" si="18"/>
        <v>7.1753794372968749E-2</v>
      </c>
      <c r="AK52" s="116">
        <f t="shared" si="19"/>
        <v>3.8677094981316766E-2</v>
      </c>
      <c r="AL52" s="107"/>
      <c r="AM52" s="115" t="s">
        <v>495</v>
      </c>
      <c r="AN52" s="107">
        <f t="shared" si="20"/>
        <v>967.07610073842659</v>
      </c>
      <c r="AO52" s="107">
        <f t="shared" si="21"/>
        <v>138.15372867691809</v>
      </c>
      <c r="AP52" s="107">
        <f t="shared" si="22"/>
        <v>-29.153728676918092</v>
      </c>
      <c r="AQ52" s="114">
        <f t="shared" si="23"/>
        <v>-0.2674654007056706</v>
      </c>
    </row>
    <row r="53" spans="2:43" x14ac:dyDescent="0.2">
      <c r="B53" s="115" t="s">
        <v>494</v>
      </c>
      <c r="C53">
        <v>7.2940288762470686</v>
      </c>
      <c r="D53">
        <v>7.0776035533162123</v>
      </c>
      <c r="E53">
        <v>2.9801635682645391</v>
      </c>
      <c r="F53">
        <v>4.9787214069235173</v>
      </c>
      <c r="G53">
        <v>4.171565683568307</v>
      </c>
      <c r="H53">
        <v>3.9498625438706578</v>
      </c>
      <c r="I53" s="123">
        <v>0.89117193975037623</v>
      </c>
      <c r="K53" s="115" t="s">
        <v>494</v>
      </c>
      <c r="L53" s="3">
        <f t="shared" si="4"/>
        <v>7301322905.1233158</v>
      </c>
      <c r="M53" s="3">
        <f t="shared" si="5"/>
        <v>127396863.95969182</v>
      </c>
      <c r="N53" s="3">
        <f t="shared" si="6"/>
        <v>47682617.092232622</v>
      </c>
      <c r="O53" s="3">
        <f t="shared" si="7"/>
        <v>19914885.62769407</v>
      </c>
      <c r="P53" s="3">
        <f t="shared" si="8"/>
        <v>146004798.92489076</v>
      </c>
      <c r="Q53" s="3">
        <f t="shared" si="9"/>
        <v>47398350.526447892</v>
      </c>
      <c r="R53" s="3">
        <f t="shared" si="10"/>
        <v>16041094.915506773</v>
      </c>
      <c r="S53" s="122">
        <f t="shared" si="11"/>
        <v>7705761516.1697798</v>
      </c>
      <c r="T53" s="3"/>
      <c r="U53" s="115" t="s">
        <v>494</v>
      </c>
      <c r="V53" s="121">
        <f t="shared" si="24"/>
        <v>0.95624528125408492</v>
      </c>
      <c r="W53" s="120">
        <f t="shared" si="25"/>
        <v>1.6685010592058781E-2</v>
      </c>
      <c r="X53" s="120">
        <f t="shared" si="26"/>
        <v>6.1879175720888011E-3</v>
      </c>
      <c r="Y53" s="120">
        <f t="shared" si="27"/>
        <v>2.6082280780698624E-3</v>
      </c>
      <c r="Z53" s="120">
        <f t="shared" si="28"/>
        <v>1.9122068949232459E-2</v>
      </c>
      <c r="AA53" s="120">
        <f t="shared" si="29"/>
        <v>6.2077036749516781E-3</v>
      </c>
      <c r="AB53" s="119">
        <f t="shared" si="30"/>
        <v>2.1008824727281631E-3</v>
      </c>
      <c r="AC53" s="118"/>
      <c r="AD53" s="115" t="s">
        <v>494</v>
      </c>
      <c r="AE53" s="117">
        <f t="shared" si="31"/>
        <v>957.20152653533899</v>
      </c>
      <c r="AF53" s="107">
        <f t="shared" si="14"/>
        <v>7.8252699676755677</v>
      </c>
      <c r="AG53" s="107">
        <f t="shared" si="15"/>
        <v>9.9006681153420817E-2</v>
      </c>
      <c r="AH53" s="107">
        <f t="shared" si="16"/>
        <v>1.043291231227945E-2</v>
      </c>
      <c r="AI53" s="107">
        <f t="shared" si="17"/>
        <v>0.66927241322313602</v>
      </c>
      <c r="AJ53" s="107">
        <f t="shared" si="18"/>
        <v>7.449244409942013E-2</v>
      </c>
      <c r="AK53" s="116">
        <f t="shared" si="19"/>
        <v>3.7815884509106938E-2</v>
      </c>
      <c r="AL53" s="107"/>
      <c r="AM53" s="115" t="s">
        <v>494</v>
      </c>
      <c r="AN53" s="107">
        <f t="shared" si="20"/>
        <v>965.91781683831186</v>
      </c>
      <c r="AO53" s="107">
        <f t="shared" si="21"/>
        <v>137.98825954833026</v>
      </c>
      <c r="AP53" s="107">
        <f t="shared" si="22"/>
        <v>-28.988259548330262</v>
      </c>
      <c r="AQ53" s="114">
        <f t="shared" si="23"/>
        <v>-0.26594733530578224</v>
      </c>
    </row>
    <row r="54" spans="2:43" x14ac:dyDescent="0.2">
      <c r="B54" s="115" t="s">
        <v>493</v>
      </c>
      <c r="C54">
        <v>7.3642844515218737</v>
      </c>
      <c r="D54">
        <v>7.0451436679013648</v>
      </c>
      <c r="E54">
        <v>3.0043816361599172</v>
      </c>
      <c r="F54">
        <v>5.0075421244746101</v>
      </c>
      <c r="G54">
        <v>4.4338196469962794</v>
      </c>
      <c r="H54">
        <v>4.1302214704190634</v>
      </c>
      <c r="I54" s="123">
        <v>0.88041250018919615</v>
      </c>
      <c r="K54" s="115" t="s">
        <v>493</v>
      </c>
      <c r="L54" s="3">
        <f t="shared" si="4"/>
        <v>7371648735.9733953</v>
      </c>
      <c r="M54" s="3">
        <f t="shared" si="5"/>
        <v>126812586.02222456</v>
      </c>
      <c r="N54" s="3">
        <f t="shared" si="6"/>
        <v>48070106.178558677</v>
      </c>
      <c r="O54" s="3">
        <f t="shared" si="7"/>
        <v>20030168.497898441</v>
      </c>
      <c r="P54" s="3">
        <f t="shared" si="8"/>
        <v>155183687.64486977</v>
      </c>
      <c r="Q54" s="3">
        <f t="shared" si="9"/>
        <v>49562657.645028763</v>
      </c>
      <c r="R54" s="3">
        <f t="shared" si="10"/>
        <v>15847425.00340553</v>
      </c>
      <c r="S54" s="122">
        <f t="shared" si="11"/>
        <v>7787155366.9653807</v>
      </c>
      <c r="T54" s="3"/>
      <c r="U54" s="115" t="s">
        <v>493</v>
      </c>
      <c r="V54" s="121">
        <f t="shared" si="24"/>
        <v>0.95664117303717722</v>
      </c>
      <c r="W54" s="120">
        <f t="shared" si="25"/>
        <v>1.6456853194343073E-2</v>
      </c>
      <c r="X54" s="120">
        <f t="shared" si="26"/>
        <v>6.1729994989545688E-3</v>
      </c>
      <c r="Y54" s="120">
        <f t="shared" si="27"/>
        <v>2.5993756043276332E-3</v>
      </c>
      <c r="Z54" s="120">
        <f t="shared" si="28"/>
        <v>2.0138656941203297E-2</v>
      </c>
      <c r="AA54" s="120">
        <f t="shared" si="29"/>
        <v>6.4318961261682472E-3</v>
      </c>
      <c r="AB54" s="119">
        <f t="shared" si="30"/>
        <v>2.0565683184136018E-3</v>
      </c>
      <c r="AC54" s="118"/>
      <c r="AD54" s="115" t="s">
        <v>493</v>
      </c>
      <c r="AE54" s="117">
        <f t="shared" si="31"/>
        <v>957.59781421021444</v>
      </c>
      <c r="AF54" s="107">
        <f t="shared" si="14"/>
        <v>7.7182641481469014</v>
      </c>
      <c r="AG54" s="107">
        <f t="shared" si="15"/>
        <v>9.8767991983273101E-2</v>
      </c>
      <c r="AH54" s="107">
        <f t="shared" si="16"/>
        <v>1.0397502417310533E-2</v>
      </c>
      <c r="AI54" s="107">
        <f t="shared" si="17"/>
        <v>0.70485299294211545</v>
      </c>
      <c r="AJ54" s="107">
        <f t="shared" si="18"/>
        <v>7.7182753514018959E-2</v>
      </c>
      <c r="AK54" s="116">
        <f t="shared" si="19"/>
        <v>3.7018229731444835E-2</v>
      </c>
      <c r="AL54" s="107"/>
      <c r="AM54" s="115" t="s">
        <v>493</v>
      </c>
      <c r="AN54" s="107">
        <f t="shared" si="20"/>
        <v>966.24429782894947</v>
      </c>
      <c r="AO54" s="107">
        <f t="shared" si="21"/>
        <v>138.03489968984994</v>
      </c>
      <c r="AP54" s="107">
        <f t="shared" si="22"/>
        <v>-29.034899689849937</v>
      </c>
      <c r="AQ54" s="114">
        <f t="shared" si="23"/>
        <v>-0.26637522651238477</v>
      </c>
    </row>
    <row r="55" spans="2:43" x14ac:dyDescent="0.2">
      <c r="B55" s="115" t="s">
        <v>492</v>
      </c>
      <c r="C55">
        <v>7.4342122077966826</v>
      </c>
      <c r="D55">
        <v>7.0159815114865189</v>
      </c>
      <c r="E55">
        <v>3.0195827350552942</v>
      </c>
      <c r="F55">
        <v>5.0363318670257033</v>
      </c>
      <c r="G55">
        <v>4.6882586084242526</v>
      </c>
      <c r="H55">
        <v>4.3267037489674669</v>
      </c>
      <c r="I55" s="123">
        <v>0.86922361662801662</v>
      </c>
      <c r="K55" s="115" t="s">
        <v>492</v>
      </c>
      <c r="L55" s="3">
        <f t="shared" si="4"/>
        <v>7441646420.0044794</v>
      </c>
      <c r="M55" s="3">
        <f t="shared" si="5"/>
        <v>126287667.20675734</v>
      </c>
      <c r="N55" s="3">
        <f t="shared" si="6"/>
        <v>48313323.76088471</v>
      </c>
      <c r="O55" s="3">
        <f t="shared" si="7"/>
        <v>20145327.468102813</v>
      </c>
      <c r="P55" s="3">
        <f t="shared" si="8"/>
        <v>164089051.29484883</v>
      </c>
      <c r="Q55" s="3">
        <f t="shared" si="9"/>
        <v>51920444.987609603</v>
      </c>
      <c r="R55" s="3">
        <f t="shared" si="10"/>
        <v>15646025.0993043</v>
      </c>
      <c r="S55" s="122">
        <f t="shared" si="11"/>
        <v>7868048259.8219862</v>
      </c>
      <c r="T55" s="3"/>
      <c r="U55" s="115" t="s">
        <v>492</v>
      </c>
      <c r="V55" s="121">
        <f t="shared" si="24"/>
        <v>0.95563091646705589</v>
      </c>
      <c r="W55" s="120">
        <f t="shared" si="25"/>
        <v>1.6217432586807506E-2</v>
      </c>
      <c r="X55" s="120">
        <f t="shared" si="26"/>
        <v>6.1404457834347082E-3</v>
      </c>
      <c r="Y55" s="120">
        <f t="shared" si="27"/>
        <v>2.5869944182137661E-3</v>
      </c>
      <c r="Z55" s="120">
        <f t="shared" si="28"/>
        <v>2.1071757729522942E-2</v>
      </c>
      <c r="AA55" s="120">
        <f t="shared" si="29"/>
        <v>6.6674469098004863E-3</v>
      </c>
      <c r="AB55" s="119">
        <f t="shared" si="30"/>
        <v>2.009209314826023E-3</v>
      </c>
      <c r="AC55" s="118"/>
      <c r="AD55" s="115" t="s">
        <v>492</v>
      </c>
      <c r="AE55" s="117">
        <f t="shared" si="31"/>
        <v>956.586547383523</v>
      </c>
      <c r="AF55" s="107">
        <f t="shared" si="14"/>
        <v>7.6059758832127198</v>
      </c>
      <c r="AG55" s="107">
        <f t="shared" si="15"/>
        <v>9.8247132534955331E-2</v>
      </c>
      <c r="AH55" s="107">
        <f t="shared" si="16"/>
        <v>1.0347977672855065E-2</v>
      </c>
      <c r="AI55" s="107">
        <f t="shared" si="17"/>
        <v>0.73751152053330293</v>
      </c>
      <c r="AJ55" s="107">
        <f t="shared" si="18"/>
        <v>8.0009362917605839E-2</v>
      </c>
      <c r="AK55" s="116">
        <f t="shared" si="19"/>
        <v>3.6165767666868416E-2</v>
      </c>
      <c r="AL55" s="107"/>
      <c r="AM55" s="115" t="s">
        <v>492</v>
      </c>
      <c r="AN55" s="107">
        <f t="shared" si="20"/>
        <v>965.15480502806133</v>
      </c>
      <c r="AO55" s="107">
        <f t="shared" si="21"/>
        <v>137.87925786115161</v>
      </c>
      <c r="AP55" s="107">
        <f t="shared" si="22"/>
        <v>-28.879257861151615</v>
      </c>
      <c r="AQ55" s="114">
        <f t="shared" si="23"/>
        <v>-0.26494731982707903</v>
      </c>
    </row>
    <row r="56" spans="2:43" x14ac:dyDescent="0.2">
      <c r="B56" s="115" t="s">
        <v>491</v>
      </c>
      <c r="C56">
        <v>7.4909278050714869</v>
      </c>
      <c r="D56">
        <v>6.9699720660716737</v>
      </c>
      <c r="E56">
        <v>3.0529259239506721</v>
      </c>
      <c r="F56">
        <v>5.065185237576797</v>
      </c>
      <c r="G56">
        <v>4.9487778308522277</v>
      </c>
      <c r="H56">
        <v>4.5327423025158691</v>
      </c>
      <c r="I56" s="123">
        <v>0.85822993606683673</v>
      </c>
      <c r="K56" s="115" t="s">
        <v>491</v>
      </c>
      <c r="L56" s="3">
        <f t="shared" si="4"/>
        <v>7498418732.8765583</v>
      </c>
      <c r="M56" s="3">
        <f t="shared" si="5"/>
        <v>125459497.18929012</v>
      </c>
      <c r="N56" s="3">
        <f t="shared" si="6"/>
        <v>48846814.783210754</v>
      </c>
      <c r="O56" s="3">
        <f t="shared" si="7"/>
        <v>20260740.950307187</v>
      </c>
      <c r="P56" s="3">
        <f t="shared" si="8"/>
        <v>173207224.07982796</v>
      </c>
      <c r="Q56" s="3">
        <f t="shared" si="9"/>
        <v>54392907.630190432</v>
      </c>
      <c r="R56" s="3">
        <f t="shared" si="10"/>
        <v>15448138.849203061</v>
      </c>
      <c r="S56" s="122">
        <f t="shared" si="11"/>
        <v>7936034056.3585882</v>
      </c>
      <c r="T56" s="3"/>
      <c r="U56" s="115" t="s">
        <v>491</v>
      </c>
      <c r="V56" s="121">
        <f t="shared" si="24"/>
        <v>0.95302144639440856</v>
      </c>
      <c r="W56" s="120">
        <f t="shared" si="25"/>
        <v>1.594544073019306E-2</v>
      </c>
      <c r="X56" s="120">
        <f t="shared" si="26"/>
        <v>6.1550661749080098E-3</v>
      </c>
      <c r="Y56" s="120">
        <f t="shared" si="27"/>
        <v>2.5750656682888198E-3</v>
      </c>
      <c r="Z56" s="120">
        <f t="shared" si="28"/>
        <v>2.2014001231322744E-2</v>
      </c>
      <c r="AA56" s="120">
        <f t="shared" si="29"/>
        <v>6.9131385362678323E-3</v>
      </c>
      <c r="AB56" s="119">
        <f t="shared" si="30"/>
        <v>1.9634016390174727E-3</v>
      </c>
      <c r="AC56" s="118"/>
      <c r="AD56" s="115" t="s">
        <v>491</v>
      </c>
      <c r="AE56" s="117">
        <f t="shared" si="31"/>
        <v>953.97446784080296</v>
      </c>
      <c r="AF56" s="107">
        <f t="shared" si="14"/>
        <v>7.4784117024605452</v>
      </c>
      <c r="AG56" s="107">
        <f t="shared" si="15"/>
        <v>9.8481058798528157E-2</v>
      </c>
      <c r="AH56" s="107">
        <f t="shared" si="16"/>
        <v>1.0300262673155279E-2</v>
      </c>
      <c r="AI56" s="107">
        <f t="shared" si="17"/>
        <v>0.77049004309629598</v>
      </c>
      <c r="AJ56" s="107">
        <f t="shared" si="18"/>
        <v>8.2957662435213991E-2</v>
      </c>
      <c r="AK56" s="116">
        <f t="shared" si="19"/>
        <v>3.5341229502314511E-2</v>
      </c>
      <c r="AL56" s="107"/>
      <c r="AM56" s="115" t="s">
        <v>491</v>
      </c>
      <c r="AN56" s="107">
        <f t="shared" si="20"/>
        <v>962.45044979976899</v>
      </c>
      <c r="AO56" s="107">
        <f t="shared" si="21"/>
        <v>137.492921399967</v>
      </c>
      <c r="AP56" s="107">
        <f t="shared" si="22"/>
        <v>-28.492921399967003</v>
      </c>
      <c r="AQ56" s="114">
        <f t="shared" si="23"/>
        <v>-0.26140294862355046</v>
      </c>
    </row>
    <row r="57" spans="2:43" x14ac:dyDescent="0.2">
      <c r="B57" s="115" t="s">
        <v>490</v>
      </c>
      <c r="C57">
        <v>7.5587998904893432</v>
      </c>
      <c r="D57">
        <v>6.9550774718045751</v>
      </c>
      <c r="E57">
        <v>3.0555962169324351</v>
      </c>
      <c r="F57">
        <v>5.0944266089374963</v>
      </c>
      <c r="G57">
        <v>5.2401467116191212</v>
      </c>
      <c r="H57">
        <v>4.7384515171415114</v>
      </c>
      <c r="I57" s="123">
        <v>0.86197451573736328</v>
      </c>
      <c r="K57" s="115" t="s">
        <v>490</v>
      </c>
      <c r="L57" s="3">
        <f t="shared" si="4"/>
        <v>7566358690.3798323</v>
      </c>
      <c r="M57" s="3">
        <f t="shared" si="5"/>
        <v>125191394.49248235</v>
      </c>
      <c r="N57" s="3">
        <f t="shared" si="6"/>
        <v>48889539.470918961</v>
      </c>
      <c r="O57" s="3">
        <f t="shared" si="7"/>
        <v>20377706.435749985</v>
      </c>
      <c r="P57" s="3">
        <f t="shared" si="8"/>
        <v>183405134.90666923</v>
      </c>
      <c r="Q57" s="3">
        <f t="shared" si="9"/>
        <v>56861418.20569814</v>
      </c>
      <c r="R57" s="3">
        <f t="shared" si="10"/>
        <v>15515541.283272538</v>
      </c>
      <c r="S57" s="122">
        <f t="shared" si="11"/>
        <v>8016599425.1746235</v>
      </c>
      <c r="T57" s="3"/>
      <c r="U57" s="115" t="s">
        <v>490</v>
      </c>
      <c r="V57" s="121">
        <f t="shared" si="24"/>
        <v>0.95341812253406844</v>
      </c>
      <c r="W57" s="120">
        <f t="shared" si="25"/>
        <v>1.5775057617371899E-2</v>
      </c>
      <c r="X57" s="120">
        <f t="shared" si="26"/>
        <v>6.0985384048740853E-3</v>
      </c>
      <c r="Y57" s="120">
        <f t="shared" si="27"/>
        <v>2.5677443280907744E-3</v>
      </c>
      <c r="Z57" s="120">
        <f t="shared" si="28"/>
        <v>2.3110426896381518E-2</v>
      </c>
      <c r="AA57" s="120">
        <f t="shared" si="29"/>
        <v>7.1649665061781168E-3</v>
      </c>
      <c r="AB57" s="119">
        <f t="shared" si="30"/>
        <v>1.9550749370639384E-3</v>
      </c>
      <c r="AC57" s="118"/>
      <c r="AD57" s="115" t="s">
        <v>490</v>
      </c>
      <c r="AE57" s="117">
        <f t="shared" si="31"/>
        <v>954.37154065660252</v>
      </c>
      <c r="AF57" s="107">
        <f t="shared" si="14"/>
        <v>7.3985020225474205</v>
      </c>
      <c r="AG57" s="107">
        <f t="shared" si="15"/>
        <v>9.7576614477985366E-2</v>
      </c>
      <c r="AH57" s="107">
        <f t="shared" si="16"/>
        <v>1.0270977312363098E-2</v>
      </c>
      <c r="AI57" s="107">
        <f t="shared" si="17"/>
        <v>0.80886494137335307</v>
      </c>
      <c r="AJ57" s="107">
        <f t="shared" si="18"/>
        <v>8.5979598074137409E-2</v>
      </c>
      <c r="AK57" s="116">
        <f t="shared" si="19"/>
        <v>3.519134886715089E-2</v>
      </c>
      <c r="AL57" s="107"/>
      <c r="AM57" s="115" t="s">
        <v>490</v>
      </c>
      <c r="AN57" s="107">
        <f t="shared" si="20"/>
        <v>962.80792615925486</v>
      </c>
      <c r="AO57" s="107">
        <f t="shared" si="21"/>
        <v>137.54398945132212</v>
      </c>
      <c r="AP57" s="107">
        <f t="shared" si="22"/>
        <v>-28.543989451322119</v>
      </c>
      <c r="AQ57" s="114">
        <f t="shared" si="23"/>
        <v>-0.26187146285616625</v>
      </c>
    </row>
    <row r="58" spans="2:43" x14ac:dyDescent="0.2">
      <c r="B58" s="115" t="s">
        <v>489</v>
      </c>
      <c r="C58">
        <v>7.6186772849071991</v>
      </c>
      <c r="D58">
        <v>6.95251002653748</v>
      </c>
      <c r="E58">
        <v>3.0649650559141981</v>
      </c>
      <c r="F58">
        <v>5.1236288252981952</v>
      </c>
      <c r="G58">
        <v>5.5304729903860137</v>
      </c>
      <c r="H58">
        <v>4.9356932627671561</v>
      </c>
      <c r="I58" s="123">
        <v>0.86587734040788977</v>
      </c>
      <c r="K58" s="115" t="s">
        <v>489</v>
      </c>
      <c r="L58" s="3">
        <f t="shared" si="4"/>
        <v>7626295962.1921062</v>
      </c>
      <c r="M58" s="3">
        <f t="shared" si="5"/>
        <v>125145180.47767463</v>
      </c>
      <c r="N58" s="3">
        <f t="shared" si="6"/>
        <v>49039440.894627169</v>
      </c>
      <c r="O58" s="3">
        <f t="shared" si="7"/>
        <v>20494515.301192779</v>
      </c>
      <c r="P58" s="3">
        <f t="shared" si="8"/>
        <v>193566554.66351047</v>
      </c>
      <c r="Q58" s="3">
        <f t="shared" si="9"/>
        <v>59228319.153205872</v>
      </c>
      <c r="R58" s="3">
        <f t="shared" si="10"/>
        <v>15585792.127342016</v>
      </c>
      <c r="S58" s="122">
        <f t="shared" si="11"/>
        <v>8089355764.80966</v>
      </c>
      <c r="T58" s="3"/>
      <c r="U58" s="115" t="s">
        <v>489</v>
      </c>
      <c r="V58" s="121">
        <f t="shared" si="24"/>
        <v>0.95131308896926514</v>
      </c>
      <c r="W58" s="120">
        <f t="shared" si="25"/>
        <v>1.5610756361940665E-2</v>
      </c>
      <c r="X58" s="120">
        <f t="shared" si="26"/>
        <v>6.0622183422762406E-3</v>
      </c>
      <c r="Y58" s="120">
        <f t="shared" si="27"/>
        <v>2.5565098384277012E-3</v>
      </c>
      <c r="Z58" s="120">
        <f t="shared" si="28"/>
        <v>2.4145718701579513E-2</v>
      </c>
      <c r="AA58" s="120">
        <f t="shared" si="29"/>
        <v>7.3882098894963453E-3</v>
      </c>
      <c r="AB58" s="119">
        <f t="shared" si="30"/>
        <v>1.9441899614439716E-3</v>
      </c>
      <c r="AC58" s="118"/>
      <c r="AD58" s="115" t="s">
        <v>489</v>
      </c>
      <c r="AE58" s="117">
        <f t="shared" si="31"/>
        <v>952.2644020582344</v>
      </c>
      <c r="AF58" s="107">
        <f t="shared" si="14"/>
        <v>7.3214447337501722</v>
      </c>
      <c r="AG58" s="107">
        <f t="shared" si="15"/>
        <v>9.699549347641985E-2</v>
      </c>
      <c r="AH58" s="107">
        <f t="shared" si="16"/>
        <v>1.0226039353710805E-2</v>
      </c>
      <c r="AI58" s="107">
        <f t="shared" si="17"/>
        <v>0.84510015455528298</v>
      </c>
      <c r="AJ58" s="107">
        <f t="shared" si="18"/>
        <v>8.8658518673956146E-2</v>
      </c>
      <c r="AK58" s="116">
        <f t="shared" si="19"/>
        <v>3.4995419305991489E-2</v>
      </c>
      <c r="AL58" s="107"/>
      <c r="AM58" s="115" t="s">
        <v>489</v>
      </c>
      <c r="AN58" s="107">
        <f t="shared" si="20"/>
        <v>960.66182241734998</v>
      </c>
      <c r="AO58" s="107">
        <f t="shared" si="21"/>
        <v>137.23740320247856</v>
      </c>
      <c r="AP58" s="107">
        <f t="shared" si="22"/>
        <v>-28.237403202478561</v>
      </c>
      <c r="AQ58" s="114">
        <f t="shared" si="23"/>
        <v>-0.25905874497686754</v>
      </c>
    </row>
    <row r="59" spans="2:43" x14ac:dyDescent="0.2">
      <c r="B59" s="115" t="s">
        <v>488</v>
      </c>
      <c r="C59">
        <v>7.6708642503250521</v>
      </c>
      <c r="D59">
        <v>6.9598428492703848</v>
      </c>
      <c r="E59">
        <v>3.0743334078959621</v>
      </c>
      <c r="F59">
        <v>5.1527143726588953</v>
      </c>
      <c r="G59">
        <v>5.8221734141529087</v>
      </c>
      <c r="H59">
        <v>5.1327708853927989</v>
      </c>
      <c r="I59" s="123">
        <v>0.86904507207841586</v>
      </c>
      <c r="K59" s="115" t="s">
        <v>488</v>
      </c>
      <c r="L59" s="3">
        <f t="shared" si="4"/>
        <v>7678535114.5753775</v>
      </c>
      <c r="M59" s="3">
        <f t="shared" si="5"/>
        <v>125277171.28686693</v>
      </c>
      <c r="N59" s="3">
        <f t="shared" si="6"/>
        <v>49189334.526335396</v>
      </c>
      <c r="O59" s="3">
        <f t="shared" si="7"/>
        <v>20610857.490635581</v>
      </c>
      <c r="P59" s="3">
        <f t="shared" si="8"/>
        <v>203776069.49535179</v>
      </c>
      <c r="Q59" s="3">
        <f t="shared" si="9"/>
        <v>61593250.624713585</v>
      </c>
      <c r="R59" s="3">
        <f t="shared" si="10"/>
        <v>15642811.297411485</v>
      </c>
      <c r="S59" s="122">
        <f t="shared" si="11"/>
        <v>8154624609.2966938</v>
      </c>
      <c r="T59" s="3"/>
      <c r="U59" s="115" t="s">
        <v>488</v>
      </c>
      <c r="V59" s="121">
        <f t="shared" si="24"/>
        <v>0.94921466403771781</v>
      </c>
      <c r="W59" s="120">
        <f t="shared" si="25"/>
        <v>1.5486668522090234E-2</v>
      </c>
      <c r="X59" s="120">
        <f t="shared" si="26"/>
        <v>6.0320783461027755E-3</v>
      </c>
      <c r="Y59" s="120">
        <f t="shared" si="27"/>
        <v>2.5478985088400979E-3</v>
      </c>
      <c r="Z59" s="120">
        <f t="shared" si="28"/>
        <v>2.5190642545580583E-2</v>
      </c>
      <c r="AA59" s="120">
        <f t="shared" si="29"/>
        <v>7.6141107420020677E-3</v>
      </c>
      <c r="AB59" s="119">
        <f t="shared" si="30"/>
        <v>1.933752421356085E-3</v>
      </c>
      <c r="AC59" s="118"/>
      <c r="AD59" s="115" t="s">
        <v>488</v>
      </c>
      <c r="AE59" s="117">
        <f t="shared" si="31"/>
        <v>950.16387870175549</v>
      </c>
      <c r="AF59" s="107">
        <f t="shared" si="14"/>
        <v>7.2632475368603195</v>
      </c>
      <c r="AG59" s="107">
        <f t="shared" si="15"/>
        <v>9.6513253537644408E-2</v>
      </c>
      <c r="AH59" s="107">
        <f t="shared" si="16"/>
        <v>1.0191594035360392E-2</v>
      </c>
      <c r="AI59" s="107">
        <f t="shared" si="17"/>
        <v>0.88167248909532037</v>
      </c>
      <c r="AJ59" s="107">
        <f t="shared" si="18"/>
        <v>9.1369328904024813E-2</v>
      </c>
      <c r="AK59" s="116">
        <f t="shared" si="19"/>
        <v>3.4807543584409531E-2</v>
      </c>
      <c r="AL59" s="107"/>
      <c r="AM59" s="115" t="s">
        <v>488</v>
      </c>
      <c r="AN59" s="107">
        <f t="shared" si="20"/>
        <v>958.54168044777259</v>
      </c>
      <c r="AO59" s="107">
        <f t="shared" si="21"/>
        <v>136.93452577825323</v>
      </c>
      <c r="AP59" s="107">
        <f t="shared" si="22"/>
        <v>-27.934525778253231</v>
      </c>
      <c r="AQ59" s="114">
        <f t="shared" si="23"/>
        <v>-0.25628005301149753</v>
      </c>
    </row>
    <row r="60" spans="2:43" x14ac:dyDescent="0.2">
      <c r="B60" s="115" t="s">
        <v>487</v>
      </c>
      <c r="C60">
        <v>7.7347813177429066</v>
      </c>
      <c r="D60">
        <v>6.963094496003289</v>
      </c>
      <c r="E60">
        <v>3.0834911268777252</v>
      </c>
      <c r="F60">
        <v>5.1818856750195934</v>
      </c>
      <c r="G60">
        <v>6.1071688819198</v>
      </c>
      <c r="H60">
        <v>5.32894750701844</v>
      </c>
      <c r="I60" s="123">
        <v>0.87234320074894234</v>
      </c>
      <c r="K60" s="115" t="s">
        <v>487</v>
      </c>
      <c r="L60" s="3">
        <f t="shared" si="4"/>
        <v>7742516099.0606499</v>
      </c>
      <c r="M60" s="3">
        <f t="shared" si="5"/>
        <v>125335700.92805921</v>
      </c>
      <c r="N60" s="3">
        <f t="shared" si="6"/>
        <v>49335858.030043602</v>
      </c>
      <c r="O60" s="3">
        <f t="shared" si="7"/>
        <v>20727542.700078372</v>
      </c>
      <c r="P60" s="3">
        <f t="shared" si="8"/>
        <v>213750910.86719301</v>
      </c>
      <c r="Q60" s="3">
        <f t="shared" si="9"/>
        <v>63947370.084221281</v>
      </c>
      <c r="R60" s="3">
        <f t="shared" si="10"/>
        <v>15702177.613480963</v>
      </c>
      <c r="S60" s="122">
        <f t="shared" si="11"/>
        <v>8231315659.2837257</v>
      </c>
      <c r="T60" s="3"/>
      <c r="U60" s="115" t="s">
        <v>487</v>
      </c>
      <c r="V60" s="121">
        <f t="shared" si="24"/>
        <v>0.94946321504901421</v>
      </c>
      <c r="W60" s="120">
        <f t="shared" si="25"/>
        <v>1.5369892169551253E-2</v>
      </c>
      <c r="X60" s="120">
        <f t="shared" si="26"/>
        <v>5.993678297879384E-3</v>
      </c>
      <c r="Y60" s="120">
        <f t="shared" si="27"/>
        <v>2.5418144541500907E-3</v>
      </c>
      <c r="Z60" s="120">
        <f t="shared" si="28"/>
        <v>2.6212231844922194E-2</v>
      </c>
      <c r="AA60" s="120">
        <f t="shared" si="29"/>
        <v>7.8418533222630472E-3</v>
      </c>
      <c r="AB60" s="119">
        <f t="shared" si="30"/>
        <v>1.9255549293562414E-3</v>
      </c>
      <c r="AC60" s="118"/>
      <c r="AD60" s="115" t="s">
        <v>487</v>
      </c>
      <c r="AE60" s="117">
        <f t="shared" si="31"/>
        <v>950.41267826406317</v>
      </c>
      <c r="AF60" s="107">
        <f t="shared" si="14"/>
        <v>7.2084794275195376</v>
      </c>
      <c r="AG60" s="107">
        <f t="shared" si="15"/>
        <v>9.5898852766070145E-2</v>
      </c>
      <c r="AH60" s="107">
        <f t="shared" si="16"/>
        <v>1.0167257816600363E-2</v>
      </c>
      <c r="AI60" s="107">
        <f t="shared" si="17"/>
        <v>0.9174281145722768</v>
      </c>
      <c r="AJ60" s="107">
        <f t="shared" si="18"/>
        <v>9.4102239867156573E-2</v>
      </c>
      <c r="AK60" s="116">
        <f t="shared" si="19"/>
        <v>3.4659988728412347E-2</v>
      </c>
      <c r="AL60" s="107"/>
      <c r="AM60" s="115" t="s">
        <v>487</v>
      </c>
      <c r="AN60" s="107">
        <f t="shared" si="20"/>
        <v>958.77341414533339</v>
      </c>
      <c r="AO60" s="107">
        <f t="shared" si="21"/>
        <v>136.96763059219049</v>
      </c>
      <c r="AP60" s="107">
        <f t="shared" si="22"/>
        <v>-27.967630592190488</v>
      </c>
      <c r="AQ60" s="114">
        <f t="shared" si="23"/>
        <v>-0.25658376690083018</v>
      </c>
    </row>
    <row r="61" spans="2:43" x14ac:dyDescent="0.2">
      <c r="B61" s="115" t="s">
        <v>486</v>
      </c>
      <c r="C61">
        <v>7.8020255341607632</v>
      </c>
      <c r="D61">
        <v>6.968111644736191</v>
      </c>
      <c r="E61">
        <v>3.0842996018594881</v>
      </c>
      <c r="F61">
        <v>5.2109483653802942</v>
      </c>
      <c r="G61">
        <v>6.3913978706866947</v>
      </c>
      <c r="H61">
        <v>5.5255596146440853</v>
      </c>
      <c r="I61" s="123">
        <v>0.87562756041946888</v>
      </c>
      <c r="K61" s="115" t="s">
        <v>486</v>
      </c>
      <c r="L61" s="3">
        <f t="shared" si="4"/>
        <v>7809827559.6949244</v>
      </c>
      <c r="M61" s="3">
        <f t="shared" si="5"/>
        <v>125426009.60525143</v>
      </c>
      <c r="N61" s="3">
        <f t="shared" si="6"/>
        <v>49348793.629751809</v>
      </c>
      <c r="O61" s="3">
        <f t="shared" si="7"/>
        <v>20843793.461521178</v>
      </c>
      <c r="P61" s="3">
        <f t="shared" si="8"/>
        <v>223698925.47403431</v>
      </c>
      <c r="Q61" s="3">
        <f t="shared" si="9"/>
        <v>66306715.375729024</v>
      </c>
      <c r="R61" s="3">
        <f t="shared" si="10"/>
        <v>15761296.087550439</v>
      </c>
      <c r="S61" s="122">
        <f t="shared" si="11"/>
        <v>8311213093.3287621</v>
      </c>
      <c r="T61" s="3"/>
      <c r="U61" s="115" t="s">
        <v>486</v>
      </c>
      <c r="V61" s="121">
        <f t="shared" si="24"/>
        <v>0.94879456492311476</v>
      </c>
      <c r="W61" s="120">
        <f t="shared" si="25"/>
        <v>1.5237662458466059E-2</v>
      </c>
      <c r="X61" s="120">
        <f t="shared" si="26"/>
        <v>5.9376162150580709E-3</v>
      </c>
      <c r="Y61" s="120">
        <f t="shared" si="27"/>
        <v>2.5322553920055797E-3</v>
      </c>
      <c r="Z61" s="120">
        <f t="shared" si="28"/>
        <v>2.7176569911000131E-2</v>
      </c>
      <c r="AA61" s="120">
        <f t="shared" si="29"/>
        <v>8.0554212862611711E-3</v>
      </c>
      <c r="AB61" s="119">
        <f t="shared" si="30"/>
        <v>1.9147967032188823E-3</v>
      </c>
      <c r="AC61" s="118"/>
      <c r="AD61" s="115" t="s">
        <v>486</v>
      </c>
      <c r="AE61" s="117">
        <f t="shared" si="31"/>
        <v>949.74335948803787</v>
      </c>
      <c r="AF61" s="107">
        <f t="shared" si="14"/>
        <v>7.146463693020582</v>
      </c>
      <c r="AG61" s="107">
        <f t="shared" si="15"/>
        <v>9.5001859440929134E-2</v>
      </c>
      <c r="AH61" s="107">
        <f t="shared" si="16"/>
        <v>1.0129021568022319E-2</v>
      </c>
      <c r="AI61" s="107">
        <f t="shared" si="17"/>
        <v>0.95117994688500462</v>
      </c>
      <c r="AJ61" s="107">
        <f t="shared" si="18"/>
        <v>9.6665055435134054E-2</v>
      </c>
      <c r="AK61" s="116">
        <f t="shared" si="19"/>
        <v>3.4466340657939881E-2</v>
      </c>
      <c r="AL61" s="107"/>
      <c r="AM61" s="115" t="s">
        <v>486</v>
      </c>
      <c r="AN61" s="107">
        <f t="shared" si="20"/>
        <v>958.0772654050453</v>
      </c>
      <c r="AO61" s="107">
        <f t="shared" si="21"/>
        <v>136.86818077214932</v>
      </c>
      <c r="AP61" s="107">
        <f t="shared" si="22"/>
        <v>-27.868180772149316</v>
      </c>
      <c r="AQ61" s="114">
        <f t="shared" si="23"/>
        <v>-0.25567138323072769</v>
      </c>
    </row>
    <row r="62" spans="2:43" x14ac:dyDescent="0.2">
      <c r="B62" s="115" t="s">
        <v>485</v>
      </c>
      <c r="C62">
        <v>7.8673688264732551</v>
      </c>
      <c r="D62">
        <v>6.9767100947540346</v>
      </c>
      <c r="E62">
        <v>3.0716735646146982</v>
      </c>
      <c r="F62">
        <v>5.2361956372590646</v>
      </c>
      <c r="G62">
        <v>6.7448285481190098</v>
      </c>
      <c r="H62">
        <v>5.7012925380579782</v>
      </c>
      <c r="I62" s="123">
        <v>0.88357804210699442</v>
      </c>
      <c r="K62" s="115" t="s">
        <v>485</v>
      </c>
      <c r="L62" s="3">
        <f t="shared" si="4"/>
        <v>7875236195.2997284</v>
      </c>
      <c r="M62" s="3">
        <f t="shared" si="5"/>
        <v>125580781.70557262</v>
      </c>
      <c r="N62" s="3">
        <f t="shared" si="6"/>
        <v>49146777.033835173</v>
      </c>
      <c r="O62" s="3">
        <f t="shared" si="7"/>
        <v>20944782.549036257</v>
      </c>
      <c r="P62" s="3">
        <f t="shared" si="8"/>
        <v>236068999.18416533</v>
      </c>
      <c r="Q62" s="3">
        <f t="shared" si="9"/>
        <v>68415510.456695735</v>
      </c>
      <c r="R62" s="3">
        <f t="shared" si="10"/>
        <v>15904404.7579259</v>
      </c>
      <c r="S62" s="122">
        <f t="shared" si="11"/>
        <v>8391297450.9869595</v>
      </c>
      <c r="T62" s="3"/>
      <c r="U62" s="115" t="s">
        <v>485</v>
      </c>
      <c r="V62" s="121">
        <f t="shared" si="24"/>
        <v>0.94754353027249616</v>
      </c>
      <c r="W62" s="120">
        <f t="shared" si="25"/>
        <v>1.5109801697465043E-2</v>
      </c>
      <c r="X62" s="120">
        <f t="shared" si="26"/>
        <v>5.8568746157430848E-3</v>
      </c>
      <c r="Y62" s="120">
        <f t="shared" si="27"/>
        <v>2.5200632343127141E-3</v>
      </c>
      <c r="Z62" s="120">
        <f t="shared" si="28"/>
        <v>2.8403675436219172E-2</v>
      </c>
      <c r="AA62" s="120">
        <f t="shared" si="29"/>
        <v>8.2317117475439825E-3</v>
      </c>
      <c r="AB62" s="119">
        <f t="shared" si="30"/>
        <v>1.9136081074244186E-3</v>
      </c>
      <c r="AC62" s="118"/>
      <c r="AD62" s="115" t="s">
        <v>485</v>
      </c>
      <c r="AE62" s="117">
        <f t="shared" si="31"/>
        <v>948.49107380276871</v>
      </c>
      <c r="AF62" s="107">
        <f t="shared" si="14"/>
        <v>7.0864969961111051</v>
      </c>
      <c r="AG62" s="107">
        <f t="shared" si="15"/>
        <v>9.3709993851889356E-2</v>
      </c>
      <c r="AH62" s="107">
        <f t="shared" si="16"/>
        <v>1.0080252937250856E-2</v>
      </c>
      <c r="AI62" s="107">
        <f t="shared" si="17"/>
        <v>0.994128640267671</v>
      </c>
      <c r="AJ62" s="107">
        <f t="shared" si="18"/>
        <v>9.8780540970527797E-2</v>
      </c>
      <c r="AK62" s="116">
        <f t="shared" si="19"/>
        <v>3.4444945933639531E-2</v>
      </c>
      <c r="AL62" s="107"/>
      <c r="AM62" s="115" t="s">
        <v>485</v>
      </c>
      <c r="AN62" s="107">
        <f t="shared" si="20"/>
        <v>956.80871517284083</v>
      </c>
      <c r="AO62" s="107">
        <f t="shared" si="21"/>
        <v>136.68695931040583</v>
      </c>
      <c r="AP62" s="107">
        <f t="shared" si="22"/>
        <v>-27.686959310405825</v>
      </c>
      <c r="AQ62" s="114">
        <f t="shared" si="23"/>
        <v>-0.25400880101289747</v>
      </c>
    </row>
    <row r="63" spans="2:43" x14ac:dyDescent="0.2">
      <c r="B63" s="115" t="s">
        <v>484</v>
      </c>
      <c r="C63">
        <v>7.9367085787857459</v>
      </c>
      <c r="D63">
        <v>6.9954356197718761</v>
      </c>
      <c r="E63">
        <v>3.0587010293699088</v>
      </c>
      <c r="F63">
        <v>5.2614026571378396</v>
      </c>
      <c r="G63">
        <v>7.0920473735513312</v>
      </c>
      <c r="H63">
        <v>5.8745482284718751</v>
      </c>
      <c r="I63" s="123">
        <v>0.89138546979452005</v>
      </c>
      <c r="K63" s="115" t="s">
        <v>484</v>
      </c>
      <c r="L63" s="3">
        <f t="shared" si="4"/>
        <v>7944645287.3645315</v>
      </c>
      <c r="M63" s="3">
        <f t="shared" si="5"/>
        <v>125917841.15589377</v>
      </c>
      <c r="N63" s="3">
        <f t="shared" si="6"/>
        <v>48939216.469918542</v>
      </c>
      <c r="O63" s="3">
        <f t="shared" si="7"/>
        <v>21045610.62855136</v>
      </c>
      <c r="P63" s="3">
        <f t="shared" si="8"/>
        <v>248221658.07429659</v>
      </c>
      <c r="Q63" s="3">
        <f t="shared" si="9"/>
        <v>70494578.741662502</v>
      </c>
      <c r="R63" s="3">
        <f t="shared" si="10"/>
        <v>16044938.456301361</v>
      </c>
      <c r="S63" s="122">
        <f t="shared" si="11"/>
        <v>8475309130.8911562</v>
      </c>
      <c r="T63" s="3"/>
      <c r="U63" s="115" t="s">
        <v>484</v>
      </c>
      <c r="V63" s="121">
        <f t="shared" si="24"/>
        <v>0.94677197820345482</v>
      </c>
      <c r="W63" s="120">
        <f t="shared" si="25"/>
        <v>1.5005765424402122E-2</v>
      </c>
      <c r="X63" s="120">
        <f t="shared" si="26"/>
        <v>5.7743281943006498E-3</v>
      </c>
      <c r="Y63" s="120">
        <f t="shared" si="27"/>
        <v>2.5080281984374226E-3</v>
      </c>
      <c r="Z63" s="120">
        <f t="shared" si="28"/>
        <v>2.9580843668591619E-2</v>
      </c>
      <c r="AA63" s="120">
        <f t="shared" si="29"/>
        <v>8.4009152521903677E-3</v>
      </c>
      <c r="AB63" s="119">
        <f t="shared" si="30"/>
        <v>1.9120926829276209E-3</v>
      </c>
      <c r="AC63" s="118"/>
      <c r="AD63" s="115" t="s">
        <v>484</v>
      </c>
      <c r="AE63" s="117">
        <f t="shared" si="31"/>
        <v>947.71875018165827</v>
      </c>
      <c r="AF63" s="107">
        <f t="shared" si="14"/>
        <v>7.0377039840445947</v>
      </c>
      <c r="AG63" s="107">
        <f t="shared" si="15"/>
        <v>9.2389251108810397E-2</v>
      </c>
      <c r="AH63" s="107">
        <f t="shared" si="16"/>
        <v>1.003211279374969E-2</v>
      </c>
      <c r="AI63" s="107">
        <f t="shared" si="17"/>
        <v>1.0353295284007067</v>
      </c>
      <c r="AJ63" s="107">
        <f t="shared" si="18"/>
        <v>0.10081098302628441</v>
      </c>
      <c r="AK63" s="116">
        <f t="shared" si="19"/>
        <v>3.4417668292697177E-2</v>
      </c>
      <c r="AL63" s="107"/>
      <c r="AM63" s="115" t="s">
        <v>484</v>
      </c>
      <c r="AN63" s="107">
        <f t="shared" si="20"/>
        <v>956.02943370932496</v>
      </c>
      <c r="AO63" s="107">
        <f t="shared" si="21"/>
        <v>136.57563338704642</v>
      </c>
      <c r="AP63" s="107">
        <f t="shared" si="22"/>
        <v>-27.575633387046423</v>
      </c>
      <c r="AQ63" s="114">
        <f t="shared" si="23"/>
        <v>-0.25298746226648094</v>
      </c>
    </row>
    <row r="64" spans="2:43" x14ac:dyDescent="0.2">
      <c r="B64" s="115" t="s">
        <v>483</v>
      </c>
      <c r="C64">
        <v>7.999020988098235</v>
      </c>
      <c r="D64">
        <v>7.0231565067897233</v>
      </c>
      <c r="E64">
        <v>3.045696451125119</v>
      </c>
      <c r="F64">
        <v>5.2866966210166133</v>
      </c>
      <c r="G64">
        <v>7.4388481689836494</v>
      </c>
      <c r="H64">
        <v>6.0511983278857686</v>
      </c>
      <c r="I64" s="123">
        <v>0.89900567648204577</v>
      </c>
      <c r="K64" s="115" t="s">
        <v>483</v>
      </c>
      <c r="L64" s="3">
        <f t="shared" si="4"/>
        <v>8007020009.0863333</v>
      </c>
      <c r="M64" s="3">
        <f t="shared" si="5"/>
        <v>126416817.12221502</v>
      </c>
      <c r="N64" s="3">
        <f t="shared" si="6"/>
        <v>48731143.218001902</v>
      </c>
      <c r="O64" s="3">
        <f t="shared" si="7"/>
        <v>21146786.484066453</v>
      </c>
      <c r="P64" s="3">
        <f t="shared" si="8"/>
        <v>260359685.91442773</v>
      </c>
      <c r="Q64" s="3">
        <f t="shared" si="9"/>
        <v>72614379.934629217</v>
      </c>
      <c r="R64" s="3">
        <f t="shared" si="10"/>
        <v>16182102.176676825</v>
      </c>
      <c r="S64" s="122">
        <f t="shared" si="11"/>
        <v>8552470923.9363508</v>
      </c>
      <c r="T64" s="3"/>
      <c r="U64" s="115" t="s">
        <v>483</v>
      </c>
      <c r="V64" s="121">
        <f t="shared" si="24"/>
        <v>0.94474666179455524</v>
      </c>
      <c r="W64" s="120">
        <f t="shared" si="25"/>
        <v>1.4915894531970024E-2</v>
      </c>
      <c r="X64" s="120">
        <f t="shared" si="26"/>
        <v>5.6979022380087745E-3</v>
      </c>
      <c r="Y64" s="120">
        <f t="shared" si="27"/>
        <v>2.4951050348110339E-3</v>
      </c>
      <c r="Z64" s="120">
        <f t="shared" si="28"/>
        <v>3.0719786369261506E-2</v>
      </c>
      <c r="AA64" s="120">
        <f t="shared" si="29"/>
        <v>8.5677559146440253E-3</v>
      </c>
      <c r="AB64" s="119">
        <f t="shared" si="30"/>
        <v>1.9093229434777347E-3</v>
      </c>
      <c r="AC64" s="118"/>
      <c r="AD64" s="115" t="s">
        <v>483</v>
      </c>
      <c r="AE64" s="117">
        <f t="shared" si="31"/>
        <v>945.69140845634979</v>
      </c>
      <c r="AF64" s="107">
        <f t="shared" si="14"/>
        <v>6.995554535493941</v>
      </c>
      <c r="AG64" s="107">
        <f t="shared" si="15"/>
        <v>9.1166435808140392E-2</v>
      </c>
      <c r="AH64" s="107">
        <f t="shared" si="16"/>
        <v>9.9804201392441356E-3</v>
      </c>
      <c r="AI64" s="107">
        <f t="shared" si="17"/>
        <v>1.0751925229241528</v>
      </c>
      <c r="AJ64" s="107">
        <f t="shared" si="18"/>
        <v>0.10281307097572831</v>
      </c>
      <c r="AK64" s="116">
        <f t="shared" si="19"/>
        <v>3.4367812982599222E-2</v>
      </c>
      <c r="AL64" s="107"/>
      <c r="AM64" s="115" t="s">
        <v>483</v>
      </c>
      <c r="AN64" s="107">
        <f t="shared" si="20"/>
        <v>954.00048325467367</v>
      </c>
      <c r="AO64" s="107">
        <f t="shared" si="21"/>
        <v>136.28578332209625</v>
      </c>
      <c r="AP64" s="107">
        <f t="shared" si="22"/>
        <v>-27.28578332209625</v>
      </c>
      <c r="AQ64" s="114">
        <f t="shared" si="23"/>
        <v>-0.25032828735868118</v>
      </c>
    </row>
    <row r="65" spans="2:43" x14ac:dyDescent="0.2">
      <c r="B65" s="115" t="s">
        <v>482</v>
      </c>
      <c r="C65">
        <v>8.063222618410725</v>
      </c>
      <c r="D65">
        <v>7.0426967288075639</v>
      </c>
      <c r="E65">
        <v>3.03257364788033</v>
      </c>
      <c r="F65">
        <v>5.3115091088953852</v>
      </c>
      <c r="G65">
        <v>7.7880418474159674</v>
      </c>
      <c r="H65">
        <v>6.230250343299665</v>
      </c>
      <c r="I65" s="123">
        <v>0.90674020816957113</v>
      </c>
      <c r="K65" s="115" t="s">
        <v>482</v>
      </c>
      <c r="L65" s="3">
        <f t="shared" si="4"/>
        <v>8071285841.0291357</v>
      </c>
      <c r="M65" s="3">
        <f t="shared" si="5"/>
        <v>126768541.11853614</v>
      </c>
      <c r="N65" s="3">
        <f t="shared" si="6"/>
        <v>48521178.366085283</v>
      </c>
      <c r="O65" s="3">
        <f t="shared" si="7"/>
        <v>21246036.435581543</v>
      </c>
      <c r="P65" s="3">
        <f t="shared" si="8"/>
        <v>272581464.65955883</v>
      </c>
      <c r="Q65" s="3">
        <f t="shared" si="9"/>
        <v>74763004.119595975</v>
      </c>
      <c r="R65" s="3">
        <f t="shared" si="10"/>
        <v>16321323.74705228</v>
      </c>
      <c r="S65" s="122">
        <f t="shared" si="11"/>
        <v>8631487389.4755459</v>
      </c>
      <c r="T65" s="3"/>
      <c r="U65" s="115" t="s">
        <v>482</v>
      </c>
      <c r="V65" s="121">
        <f t="shared" si="24"/>
        <v>0.94373730268284317</v>
      </c>
      <c r="W65" s="120">
        <f t="shared" si="25"/>
        <v>1.4822446313584169E-2</v>
      </c>
      <c r="X65" s="120">
        <f t="shared" si="26"/>
        <v>5.6214156583542733E-3</v>
      </c>
      <c r="Y65" s="120">
        <f t="shared" si="27"/>
        <v>2.4841986163459374E-3</v>
      </c>
      <c r="Z65" s="120">
        <f t="shared" si="28"/>
        <v>3.1871662246365264E-2</v>
      </c>
      <c r="AA65" s="120">
        <f t="shared" si="29"/>
        <v>8.7416846879130507E-3</v>
      </c>
      <c r="AB65" s="119">
        <f t="shared" si="30"/>
        <v>1.9083752394144645E-3</v>
      </c>
      <c r="AC65" s="118"/>
      <c r="AD65" s="115" t="s">
        <v>482</v>
      </c>
      <c r="AE65" s="117">
        <f t="shared" si="31"/>
        <v>944.68103998552601</v>
      </c>
      <c r="AF65" s="107">
        <f t="shared" si="14"/>
        <v>6.9517273210709751</v>
      </c>
      <c r="AG65" s="107">
        <f t="shared" si="15"/>
        <v>8.9942650533668372E-2</v>
      </c>
      <c r="AH65" s="107">
        <f t="shared" si="16"/>
        <v>9.9367944653837494E-3</v>
      </c>
      <c r="AI65" s="107">
        <f t="shared" si="17"/>
        <v>1.1155081786227843</v>
      </c>
      <c r="AJ65" s="107">
        <f t="shared" si="18"/>
        <v>0.1049002162549566</v>
      </c>
      <c r="AK65" s="116">
        <f t="shared" si="19"/>
        <v>3.4350754309460364E-2</v>
      </c>
      <c r="AL65" s="107"/>
      <c r="AM65" s="115" t="s">
        <v>482</v>
      </c>
      <c r="AN65" s="107">
        <f t="shared" si="20"/>
        <v>952.98740590078319</v>
      </c>
      <c r="AO65" s="107">
        <f t="shared" si="21"/>
        <v>136.14105798582617</v>
      </c>
      <c r="AP65" s="107">
        <f t="shared" si="22"/>
        <v>-27.141057985826166</v>
      </c>
      <c r="AQ65" s="114">
        <f t="shared" si="23"/>
        <v>-0.24900053198005656</v>
      </c>
    </row>
    <row r="66" spans="2:43" x14ac:dyDescent="0.2">
      <c r="B66" s="115" t="s">
        <v>481</v>
      </c>
      <c r="C66">
        <v>8.1198193287232119</v>
      </c>
      <c r="D66">
        <v>7.0611921518254066</v>
      </c>
      <c r="E66">
        <v>3.0195141386355409</v>
      </c>
      <c r="F66">
        <v>5.3369832187741588</v>
      </c>
      <c r="G66">
        <v>8.1451516018482835</v>
      </c>
      <c r="H66">
        <v>6.4096021637135578</v>
      </c>
      <c r="I66" s="123">
        <v>0.91418307885709682</v>
      </c>
      <c r="K66" s="115" t="s">
        <v>481</v>
      </c>
      <c r="L66" s="3">
        <f t="shared" si="4"/>
        <v>8127939148.0519352</v>
      </c>
      <c r="M66" s="3">
        <f t="shared" si="5"/>
        <v>127101458.73285732</v>
      </c>
      <c r="N66" s="3">
        <f t="shared" si="6"/>
        <v>48312226.218168654</v>
      </c>
      <c r="O66" s="3">
        <f t="shared" si="7"/>
        <v>21347932.875096634</v>
      </c>
      <c r="P66" s="3">
        <f t="shared" si="8"/>
        <v>285080306.06468993</v>
      </c>
      <c r="Q66" s="3">
        <f t="shared" si="9"/>
        <v>76915225.964562699</v>
      </c>
      <c r="R66" s="3">
        <f t="shared" si="10"/>
        <v>16455295.419427743</v>
      </c>
      <c r="S66" s="122">
        <f t="shared" si="11"/>
        <v>8703151593.3267384</v>
      </c>
      <c r="T66" s="3"/>
      <c r="U66" s="115" t="s">
        <v>481</v>
      </c>
      <c r="V66" s="121">
        <f t="shared" si="24"/>
        <v>0.94166147516619303</v>
      </c>
      <c r="W66" s="120">
        <f t="shared" si="25"/>
        <v>1.4725325195728528E-2</v>
      </c>
      <c r="X66" s="120">
        <f t="shared" si="26"/>
        <v>5.5511185459773812E-3</v>
      </c>
      <c r="Y66" s="120">
        <f t="shared" si="27"/>
        <v>2.4732623604509195E-3</v>
      </c>
      <c r="Z66" s="120">
        <f t="shared" si="28"/>
        <v>3.3027946772220401E-2</v>
      </c>
      <c r="AA66" s="120">
        <f t="shared" si="29"/>
        <v>8.9110048470146825E-3</v>
      </c>
      <c r="AB66" s="119">
        <f t="shared" si="30"/>
        <v>1.9064263987098955E-3</v>
      </c>
      <c r="AC66" s="118"/>
      <c r="AD66" s="115" t="s">
        <v>481</v>
      </c>
      <c r="AE66" s="117">
        <f t="shared" si="31"/>
        <v>942.60313664135924</v>
      </c>
      <c r="AF66" s="107">
        <f t="shared" si="14"/>
        <v>6.9061775167966797</v>
      </c>
      <c r="AG66" s="107">
        <f t="shared" si="15"/>
        <v>8.8817896735638099E-2</v>
      </c>
      <c r="AH66" s="107">
        <f t="shared" si="16"/>
        <v>9.893049441803678E-3</v>
      </c>
      <c r="AI66" s="107">
        <f t="shared" si="17"/>
        <v>1.155978137027714</v>
      </c>
      <c r="AJ66" s="107">
        <f t="shared" si="18"/>
        <v>0.1069320581641762</v>
      </c>
      <c r="AK66" s="116">
        <f t="shared" si="19"/>
        <v>3.4315675176778117E-2</v>
      </c>
      <c r="AL66" s="107"/>
      <c r="AM66" s="115" t="s">
        <v>481</v>
      </c>
      <c r="AN66" s="107">
        <f t="shared" si="20"/>
        <v>950.90525097470197</v>
      </c>
      <c r="AO66" s="107">
        <f t="shared" si="21"/>
        <v>135.84360728210029</v>
      </c>
      <c r="AP66" s="107">
        <f t="shared" si="22"/>
        <v>-26.843607282100294</v>
      </c>
      <c r="AQ66" s="114">
        <f t="shared" si="23"/>
        <v>-0.24627162644128711</v>
      </c>
    </row>
    <row r="67" spans="2:43" x14ac:dyDescent="0.2">
      <c r="B67" s="115" t="s">
        <v>480</v>
      </c>
      <c r="C67">
        <v>8.1165161528165637</v>
      </c>
      <c r="D67">
        <v>7.1004237476699279</v>
      </c>
      <c r="E67">
        <v>3.0222816470839948</v>
      </c>
      <c r="F67">
        <v>5.3792523070133704</v>
      </c>
      <c r="G67">
        <v>8.5533563184833969</v>
      </c>
      <c r="H67">
        <v>6.4929297526927758</v>
      </c>
      <c r="I67" s="123">
        <v>0.92601509079748567</v>
      </c>
      <c r="K67" s="115" t="s">
        <v>480</v>
      </c>
      <c r="L67" s="3">
        <f t="shared" si="4"/>
        <v>8124632668.9693804</v>
      </c>
      <c r="M67" s="3">
        <f t="shared" si="5"/>
        <v>127807627.4580587</v>
      </c>
      <c r="N67" s="3">
        <f t="shared" si="6"/>
        <v>48356506.353343919</v>
      </c>
      <c r="O67" s="3">
        <f t="shared" si="7"/>
        <v>21517009.22805348</v>
      </c>
      <c r="P67" s="3">
        <f t="shared" si="8"/>
        <v>299367471.14691889</v>
      </c>
      <c r="Q67" s="3">
        <f t="shared" si="9"/>
        <v>77915157.032313317</v>
      </c>
      <c r="R67" s="3">
        <f t="shared" si="10"/>
        <v>16668271.634354742</v>
      </c>
      <c r="S67" s="122">
        <f t="shared" si="11"/>
        <v>8716264711.822422</v>
      </c>
      <c r="T67" s="3"/>
      <c r="U67" s="115" t="s">
        <v>480</v>
      </c>
      <c r="V67" s="121">
        <f t="shared" si="24"/>
        <v>0.93352765166115859</v>
      </c>
      <c r="W67" s="120">
        <f t="shared" si="25"/>
        <v>1.4685212142697475E-2</v>
      </c>
      <c r="X67" s="120">
        <f t="shared" si="26"/>
        <v>5.5478473809721408E-3</v>
      </c>
      <c r="Y67" s="120">
        <f t="shared" si="27"/>
        <v>2.4723238469788284E-3</v>
      </c>
      <c r="Z67" s="120">
        <f t="shared" si="28"/>
        <v>3.4397593554094018E-2</v>
      </c>
      <c r="AA67" s="120">
        <f t="shared" si="29"/>
        <v>8.9525221061363385E-3</v>
      </c>
      <c r="AB67" s="119">
        <f t="shared" si="30"/>
        <v>1.9151995062495946E-3</v>
      </c>
      <c r="AC67" s="118"/>
      <c r="AD67" s="115" t="s">
        <v>480</v>
      </c>
      <c r="AE67" s="117">
        <f t="shared" si="31"/>
        <v>934.4611793128197</v>
      </c>
      <c r="AF67" s="107">
        <f t="shared" si="14"/>
        <v>6.8873644949251158</v>
      </c>
      <c r="AG67" s="107">
        <f t="shared" si="15"/>
        <v>8.8765558095554253E-2</v>
      </c>
      <c r="AH67" s="107">
        <f t="shared" si="16"/>
        <v>9.8892953879153138E-3</v>
      </c>
      <c r="AI67" s="107">
        <f t="shared" si="17"/>
        <v>1.2039157743932907</v>
      </c>
      <c r="AJ67" s="107">
        <f t="shared" si="18"/>
        <v>0.10743026527363606</v>
      </c>
      <c r="AK67" s="116">
        <f t="shared" si="19"/>
        <v>3.4473591112492701E-2</v>
      </c>
      <c r="AL67" s="107"/>
      <c r="AM67" s="115" t="s">
        <v>480</v>
      </c>
      <c r="AN67" s="107">
        <f t="shared" si="20"/>
        <v>942.79301829200767</v>
      </c>
      <c r="AO67" s="107">
        <f t="shared" si="21"/>
        <v>134.68471689885823</v>
      </c>
      <c r="AP67" s="107">
        <f t="shared" si="22"/>
        <v>-25.684716898858227</v>
      </c>
      <c r="AQ67" s="114">
        <f t="shared" si="23"/>
        <v>-0.23563960457668098</v>
      </c>
    </row>
    <row r="68" spans="2:43" x14ac:dyDescent="0.2">
      <c r="B68" s="115" t="s">
        <v>479</v>
      </c>
      <c r="C68">
        <v>8.114688623909915</v>
      </c>
      <c r="D68">
        <v>7.1438538305144492</v>
      </c>
      <c r="E68">
        <v>3.0173146595324511</v>
      </c>
      <c r="F68">
        <v>5.4214968602525806</v>
      </c>
      <c r="G68">
        <v>8.962820251118508</v>
      </c>
      <c r="H68">
        <v>6.577838762671993</v>
      </c>
      <c r="I68" s="123">
        <v>0.93841092473787491</v>
      </c>
      <c r="K68" s="115" t="s">
        <v>479</v>
      </c>
      <c r="L68" s="3">
        <f t="shared" si="4"/>
        <v>8122803312.5338249</v>
      </c>
      <c r="M68" s="3">
        <f t="shared" si="5"/>
        <v>128589368.94926009</v>
      </c>
      <c r="N68" s="3">
        <f t="shared" si="6"/>
        <v>48277034.552519217</v>
      </c>
      <c r="O68" s="3">
        <f t="shared" si="7"/>
        <v>21685987.441010322</v>
      </c>
      <c r="P68" s="3">
        <f t="shared" si="8"/>
        <v>313698708.78914779</v>
      </c>
      <c r="Q68" s="3">
        <f t="shared" si="9"/>
        <v>78934065.152063921</v>
      </c>
      <c r="R68" s="3">
        <f t="shared" si="10"/>
        <v>16891396.645281747</v>
      </c>
      <c r="S68" s="122">
        <f t="shared" si="11"/>
        <v>8730879874.0631065</v>
      </c>
      <c r="T68" s="3"/>
      <c r="U68" s="115" t="s">
        <v>479</v>
      </c>
      <c r="V68" s="121">
        <f t="shared" si="24"/>
        <v>0.93191333456364078</v>
      </c>
      <c r="W68" s="120">
        <f t="shared" si="25"/>
        <v>1.4752806758478339E-2</v>
      </c>
      <c r="X68" s="120">
        <f t="shared" si="26"/>
        <v>5.5294581129143906E-3</v>
      </c>
      <c r="Y68" s="120">
        <f t="shared" si="27"/>
        <v>2.4879909178981501E-3</v>
      </c>
      <c r="Z68" s="120">
        <f t="shared" si="28"/>
        <v>3.5990039215268249E-2</v>
      </c>
      <c r="AA68" s="120">
        <f t="shared" si="29"/>
        <v>9.0559508874255099E-3</v>
      </c>
      <c r="AB68" s="119">
        <f t="shared" si="30"/>
        <v>1.9379168948793944E-3</v>
      </c>
      <c r="AC68" s="118"/>
      <c r="AD68" s="115" t="s">
        <v>479</v>
      </c>
      <c r="AE68" s="117">
        <f t="shared" si="31"/>
        <v>932.84524789820443</v>
      </c>
      <c r="AF68" s="107">
        <f t="shared" si="14"/>
        <v>6.919066369726341</v>
      </c>
      <c r="AG68" s="107">
        <f t="shared" si="15"/>
        <v>8.847132980663025E-2</v>
      </c>
      <c r="AH68" s="107">
        <f t="shared" si="16"/>
        <v>9.9519636715926004E-3</v>
      </c>
      <c r="AI68" s="107">
        <f t="shared" si="17"/>
        <v>1.2596513725343887</v>
      </c>
      <c r="AJ68" s="107">
        <f t="shared" si="18"/>
        <v>0.10867141064910613</v>
      </c>
      <c r="AK68" s="116">
        <f t="shared" si="19"/>
        <v>3.4882504107829101E-2</v>
      </c>
      <c r="AL68" s="107"/>
      <c r="AM68" s="115" t="s">
        <v>479</v>
      </c>
      <c r="AN68" s="107">
        <f t="shared" si="20"/>
        <v>941.26594284870032</v>
      </c>
      <c r="AO68" s="107">
        <f t="shared" si="21"/>
        <v>134.46656326410005</v>
      </c>
      <c r="AP68" s="107">
        <f t="shared" si="22"/>
        <v>-25.466563264100046</v>
      </c>
      <c r="AQ68" s="114">
        <f t="shared" si="23"/>
        <v>-0.23363819508348665</v>
      </c>
    </row>
    <row r="69" spans="2:43" x14ac:dyDescent="0.2">
      <c r="B69" s="115" t="s">
        <v>478</v>
      </c>
      <c r="C69">
        <v>8.1164983020032651</v>
      </c>
      <c r="D69">
        <v>7.1948539813589711</v>
      </c>
      <c r="E69">
        <v>3.0199215229809062</v>
      </c>
      <c r="F69">
        <v>5.4639173164917967</v>
      </c>
      <c r="G69">
        <v>9.3590204517536204</v>
      </c>
      <c r="H69">
        <v>6.6597588196512127</v>
      </c>
      <c r="I69" s="123">
        <v>0.9506038286782641</v>
      </c>
      <c r="K69" s="115" t="s">
        <v>478</v>
      </c>
      <c r="L69" s="3">
        <f t="shared" si="4"/>
        <v>8124614800.3052683</v>
      </c>
      <c r="M69" s="3">
        <f t="shared" si="5"/>
        <v>129507371.66446148</v>
      </c>
      <c r="N69" s="3">
        <f t="shared" si="6"/>
        <v>48318744.367694497</v>
      </c>
      <c r="O69" s="3">
        <f t="shared" si="7"/>
        <v>21855669.265967187</v>
      </c>
      <c r="P69" s="3">
        <f t="shared" si="8"/>
        <v>327565715.81137669</v>
      </c>
      <c r="Q69" s="3">
        <f t="shared" si="9"/>
        <v>79917105.835814551</v>
      </c>
      <c r="R69" s="3">
        <f t="shared" si="10"/>
        <v>17110868.916208755</v>
      </c>
      <c r="S69" s="122">
        <f t="shared" si="11"/>
        <v>8748890276.1667919</v>
      </c>
      <c r="T69" s="3"/>
      <c r="U69" s="115" t="s">
        <v>478</v>
      </c>
      <c r="V69" s="121">
        <f t="shared" si="24"/>
        <v>0.93056082748786006</v>
      </c>
      <c r="W69" s="120">
        <f t="shared" si="25"/>
        <v>1.4833255471672453E-2</v>
      </c>
      <c r="X69" s="120">
        <f t="shared" si="26"/>
        <v>5.5228426511784645E-3</v>
      </c>
      <c r="Y69" s="120">
        <f t="shared" si="27"/>
        <v>2.5032607917208887E-3</v>
      </c>
      <c r="Z69" s="120">
        <f t="shared" si="28"/>
        <v>3.7518064678049086E-2</v>
      </c>
      <c r="AA69" s="120">
        <f t="shared" si="29"/>
        <v>9.1533851099274578E-3</v>
      </c>
      <c r="AB69" s="119">
        <f t="shared" si="30"/>
        <v>1.9598103699765873E-3</v>
      </c>
      <c r="AC69" s="118"/>
      <c r="AD69" s="115" t="s">
        <v>478</v>
      </c>
      <c r="AE69" s="117">
        <f t="shared" si="31"/>
        <v>931.49138831534788</v>
      </c>
      <c r="AF69" s="107">
        <f t="shared" si="14"/>
        <v>6.9567968162143803</v>
      </c>
      <c r="AG69" s="107">
        <f t="shared" si="15"/>
        <v>8.8365482418855432E-2</v>
      </c>
      <c r="AH69" s="107">
        <f t="shared" si="16"/>
        <v>1.0013043166883555E-2</v>
      </c>
      <c r="AI69" s="107">
        <f t="shared" si="17"/>
        <v>1.313132263731718</v>
      </c>
      <c r="AJ69" s="107">
        <f t="shared" si="18"/>
        <v>0.1098406213191295</v>
      </c>
      <c r="AK69" s="116">
        <f t="shared" si="19"/>
        <v>3.5276586659578571E-2</v>
      </c>
      <c r="AL69" s="107"/>
      <c r="AM69" s="115" t="s">
        <v>478</v>
      </c>
      <c r="AN69" s="107">
        <f t="shared" si="20"/>
        <v>940.00481312885847</v>
      </c>
      <c r="AO69" s="107">
        <f t="shared" si="21"/>
        <v>134.28640187555121</v>
      </c>
      <c r="AP69" s="107">
        <f t="shared" si="22"/>
        <v>-25.286401875551206</v>
      </c>
      <c r="AQ69" s="114">
        <f t="shared" si="23"/>
        <v>-0.23198533830780924</v>
      </c>
    </row>
    <row r="70" spans="2:43" x14ac:dyDescent="0.2">
      <c r="B70" s="115" t="s">
        <v>477</v>
      </c>
      <c r="C70">
        <v>8.117781796096617</v>
      </c>
      <c r="D70">
        <v>7.2482399962034938</v>
      </c>
      <c r="E70">
        <v>3.022583563429361</v>
      </c>
      <c r="F70">
        <v>5.5060007967310094</v>
      </c>
      <c r="G70">
        <v>9.7554748623887289</v>
      </c>
      <c r="H70">
        <v>6.7454082466304284</v>
      </c>
      <c r="I70" s="123">
        <v>0.96216986261865334</v>
      </c>
      <c r="K70" s="115" t="s">
        <v>477</v>
      </c>
      <c r="L70" s="3">
        <f t="shared" si="4"/>
        <v>8125899577.8927135</v>
      </c>
      <c r="M70" s="3">
        <f t="shared" si="5"/>
        <v>130468319.93166289</v>
      </c>
      <c r="N70" s="3">
        <f t="shared" si="6"/>
        <v>48361337.014869772</v>
      </c>
      <c r="O70" s="3">
        <f t="shared" si="7"/>
        <v>22024003.186924037</v>
      </c>
      <c r="P70" s="3">
        <f t="shared" si="8"/>
        <v>341441620.18360549</v>
      </c>
      <c r="Q70" s="3">
        <f t="shared" si="9"/>
        <v>80944898.959565148</v>
      </c>
      <c r="R70" s="3">
        <f t="shared" si="10"/>
        <v>17319057.52713576</v>
      </c>
      <c r="S70" s="122">
        <f t="shared" si="11"/>
        <v>8766458814.696476</v>
      </c>
      <c r="T70" s="3"/>
      <c r="U70" s="115" t="s">
        <v>477</v>
      </c>
      <c r="V70" s="121">
        <f t="shared" si="24"/>
        <v>0.92879203206248995</v>
      </c>
      <c r="W70" s="120">
        <f t="shared" si="25"/>
        <v>1.4912556428679526E-2</v>
      </c>
      <c r="X70" s="120">
        <f t="shared" si="26"/>
        <v>5.5166331168743652E-3</v>
      </c>
      <c r="Y70" s="120">
        <f t="shared" si="27"/>
        <v>2.517348199796324E-3</v>
      </c>
      <c r="Z70" s="120">
        <f t="shared" si="28"/>
        <v>3.9026849052358162E-2</v>
      </c>
      <c r="AA70" s="120">
        <f t="shared" si="29"/>
        <v>9.2520189880618848E-3</v>
      </c>
      <c r="AB70" s="119">
        <f t="shared" si="30"/>
        <v>1.9795719206029258E-3</v>
      </c>
      <c r="AC70" s="118"/>
      <c r="AD70" s="115" t="s">
        <v>477</v>
      </c>
      <c r="AE70" s="117">
        <f t="shared" si="31"/>
        <v>929.72082409455243</v>
      </c>
      <c r="AF70" s="107">
        <f t="shared" si="14"/>
        <v>6.9939889650506979</v>
      </c>
      <c r="AG70" s="107">
        <f t="shared" si="15"/>
        <v>8.8266129869989843E-2</v>
      </c>
      <c r="AH70" s="107">
        <f t="shared" si="16"/>
        <v>1.0069392799185296E-2</v>
      </c>
      <c r="AI70" s="107">
        <f t="shared" si="17"/>
        <v>1.3659397168325356</v>
      </c>
      <c r="AJ70" s="107">
        <f t="shared" si="18"/>
        <v>0.11102422785674262</v>
      </c>
      <c r="AK70" s="116">
        <f t="shared" si="19"/>
        <v>3.5632294570852666E-2</v>
      </c>
      <c r="AL70" s="107"/>
      <c r="AM70" s="115" t="s">
        <v>477</v>
      </c>
      <c r="AN70" s="107">
        <f t="shared" si="20"/>
        <v>938.32574482153245</v>
      </c>
      <c r="AO70" s="107">
        <f t="shared" si="21"/>
        <v>134.04653497450462</v>
      </c>
      <c r="AP70" s="107">
        <f t="shared" si="22"/>
        <v>-25.046534974504624</v>
      </c>
      <c r="AQ70" s="114">
        <f t="shared" si="23"/>
        <v>-0.22978472453673968</v>
      </c>
    </row>
    <row r="71" spans="2:43" x14ac:dyDescent="0.2">
      <c r="B71" s="115" t="s">
        <v>476</v>
      </c>
      <c r="C71">
        <v>8.1151956611899667</v>
      </c>
      <c r="D71">
        <v>7.3056379750480156</v>
      </c>
      <c r="E71">
        <v>3.0253884868778158</v>
      </c>
      <c r="F71">
        <v>5.5481525149702211</v>
      </c>
      <c r="G71">
        <v>10.151999586023839</v>
      </c>
      <c r="H71">
        <v>6.8334749716096459</v>
      </c>
      <c r="I71" s="123">
        <v>0.9731070365590424</v>
      </c>
      <c r="K71" s="115" t="s">
        <v>476</v>
      </c>
      <c r="L71" s="3">
        <f t="shared" si="4"/>
        <v>8123310856.8511562</v>
      </c>
      <c r="M71" s="3">
        <f t="shared" si="5"/>
        <v>131501483.55086428</v>
      </c>
      <c r="N71" s="3">
        <f t="shared" si="6"/>
        <v>48406215.790045053</v>
      </c>
      <c r="O71" s="3">
        <f t="shared" si="7"/>
        <v>22192610.059880886</v>
      </c>
      <c r="P71" s="3">
        <f t="shared" si="8"/>
        <v>355319985.5108344</v>
      </c>
      <c r="Q71" s="3">
        <f t="shared" si="9"/>
        <v>82001699.65931575</v>
      </c>
      <c r="R71" s="3">
        <f t="shared" si="10"/>
        <v>17515926.658062764</v>
      </c>
      <c r="S71" s="122">
        <f t="shared" si="11"/>
        <v>8780248778.0801582</v>
      </c>
      <c r="T71" s="3"/>
      <c r="U71" s="115" t="s">
        <v>476</v>
      </c>
      <c r="V71" s="121">
        <f t="shared" si="24"/>
        <v>0.92663537564710641</v>
      </c>
      <c r="W71" s="120">
        <f t="shared" si="25"/>
        <v>1.5000524879032048E-2</v>
      </c>
      <c r="X71" s="120">
        <f t="shared" si="26"/>
        <v>5.5130802114503746E-3</v>
      </c>
      <c r="Y71" s="120">
        <f t="shared" si="27"/>
        <v>2.5315364537703893E-3</v>
      </c>
      <c r="Z71" s="120">
        <f t="shared" si="28"/>
        <v>4.053175780797149E-2</v>
      </c>
      <c r="AA71" s="120">
        <f t="shared" si="29"/>
        <v>9.3540278227104093E-3</v>
      </c>
      <c r="AB71" s="119">
        <f t="shared" si="30"/>
        <v>1.9980618204352135E-3</v>
      </c>
      <c r="AC71" s="118"/>
      <c r="AD71" s="115" t="s">
        <v>476</v>
      </c>
      <c r="AE71" s="117">
        <f t="shared" si="31"/>
        <v>927.5620110227535</v>
      </c>
      <c r="AF71" s="107">
        <f t="shared" si="14"/>
        <v>7.0352461682660303</v>
      </c>
      <c r="AG71" s="107">
        <f t="shared" si="15"/>
        <v>8.8209283383205994E-2</v>
      </c>
      <c r="AH71" s="107">
        <f t="shared" si="16"/>
        <v>1.0126145815081557E-2</v>
      </c>
      <c r="AI71" s="107">
        <f t="shared" si="17"/>
        <v>1.4186115232790022</v>
      </c>
      <c r="AJ71" s="107">
        <f t="shared" si="18"/>
        <v>0.11224833387252492</v>
      </c>
      <c r="AK71" s="116">
        <f t="shared" si="19"/>
        <v>3.5965112767833846E-2</v>
      </c>
      <c r="AL71" s="107"/>
      <c r="AM71" s="115" t="s">
        <v>476</v>
      </c>
      <c r="AN71" s="107">
        <f t="shared" si="20"/>
        <v>936.26241759013715</v>
      </c>
      <c r="AO71" s="107">
        <f t="shared" si="21"/>
        <v>133.75177394144816</v>
      </c>
      <c r="AP71" s="107">
        <f t="shared" si="22"/>
        <v>-24.751773941448164</v>
      </c>
      <c r="AQ71" s="114">
        <f t="shared" si="23"/>
        <v>-0.22708049487567122</v>
      </c>
    </row>
    <row r="72" spans="2:43" x14ac:dyDescent="0.2">
      <c r="B72" s="113"/>
      <c r="C72" s="109"/>
      <c r="D72" s="109"/>
      <c r="E72" s="109"/>
      <c r="F72" s="109"/>
      <c r="G72" s="109"/>
      <c r="H72" s="109"/>
      <c r="I72" s="108"/>
      <c r="K72" s="113"/>
      <c r="L72" s="109"/>
      <c r="M72" s="109"/>
      <c r="N72" s="109"/>
      <c r="O72" s="109"/>
      <c r="P72" s="109"/>
      <c r="Q72" s="109"/>
      <c r="R72" s="109"/>
      <c r="S72" s="108"/>
      <c r="U72" s="113"/>
      <c r="V72" s="109"/>
      <c r="W72" s="109"/>
      <c r="X72" s="109"/>
      <c r="Y72" s="109"/>
      <c r="Z72" s="109"/>
      <c r="AA72" s="109"/>
      <c r="AB72" s="108"/>
      <c r="AD72" s="113"/>
      <c r="AE72" s="112"/>
      <c r="AF72" s="112"/>
      <c r="AG72" s="112"/>
      <c r="AH72" s="112"/>
      <c r="AI72" s="112"/>
      <c r="AJ72" s="112"/>
      <c r="AK72" s="111"/>
      <c r="AL72" s="107"/>
      <c r="AM72" s="110"/>
      <c r="AN72" s="109"/>
      <c r="AO72" s="109"/>
      <c r="AP72" s="109"/>
      <c r="AQ72" s="108"/>
    </row>
    <row r="73" spans="2:43" x14ac:dyDescent="0.2">
      <c r="AE73" s="107"/>
      <c r="AF73" s="107"/>
      <c r="AG73" s="107"/>
      <c r="AH73" s="107"/>
      <c r="AI73" s="107"/>
      <c r="AJ73" s="107"/>
      <c r="AK73" s="107"/>
      <c r="AL73" s="107"/>
      <c r="AM73" s="107"/>
    </row>
  </sheetData>
  <mergeCells count="7">
    <mergeCell ref="B4:I4"/>
    <mergeCell ref="J4:J5"/>
    <mergeCell ref="AM29:AQ29"/>
    <mergeCell ref="AD29:AK29"/>
    <mergeCell ref="U29:AB29"/>
    <mergeCell ref="K29:S29"/>
    <mergeCell ref="B29:I2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1B751-86D0-4EE4-ACD1-59652770B272}">
  <sheetPr>
    <tabColor theme="6"/>
  </sheetPr>
  <dimension ref="A1:AR73"/>
  <sheetViews>
    <sheetView workbookViewId="0">
      <selection activeCell="L11" sqref="L11"/>
    </sheetView>
  </sheetViews>
  <sheetFormatPr baseColWidth="10" defaultColWidth="11" defaultRowHeight="16" x14ac:dyDescent="0.2"/>
  <cols>
    <col min="2" max="2" width="14.33203125" customWidth="1"/>
    <col min="3" max="3" width="15.1640625" customWidth="1"/>
    <col min="4" max="4" width="12.6640625" customWidth="1"/>
    <col min="5" max="5" width="14.6640625" customWidth="1"/>
    <col min="6" max="6" width="13.33203125" customWidth="1"/>
    <col min="13" max="13" width="16.1640625" customWidth="1"/>
    <col min="14" max="14" width="14.6640625" customWidth="1"/>
    <col min="15" max="15" width="15.83203125" customWidth="1"/>
    <col min="16" max="16" width="14.5" customWidth="1"/>
    <col min="17" max="17" width="15.1640625" customWidth="1"/>
    <col min="18" max="18" width="15.33203125" customWidth="1"/>
    <col min="19" max="19" width="15.5" customWidth="1"/>
    <col min="20" max="20" width="17.6640625" customWidth="1"/>
    <col min="21" max="21" width="16.1640625" customWidth="1"/>
    <col min="37" max="37" width="12" customWidth="1"/>
    <col min="42" max="42" width="16.5" customWidth="1"/>
    <col min="44" max="44" width="14.83203125" customWidth="1"/>
  </cols>
  <sheetData>
    <row r="1" spans="1:17" x14ac:dyDescent="0.2">
      <c r="A1" t="s">
        <v>470</v>
      </c>
    </row>
    <row r="2" spans="1:17" x14ac:dyDescent="0.2">
      <c r="B2" s="321" t="s">
        <v>461</v>
      </c>
      <c r="C2" s="321"/>
      <c r="D2" s="321"/>
      <c r="E2" s="321"/>
      <c r="F2" s="321"/>
      <c r="G2" s="321"/>
      <c r="H2" s="321"/>
      <c r="I2" s="321"/>
    </row>
    <row r="3" spans="1:17" ht="85" x14ac:dyDescent="0.2"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556</v>
      </c>
      <c r="I3" s="214" t="s">
        <v>527</v>
      </c>
      <c r="J3" s="39" t="s">
        <v>460</v>
      </c>
      <c r="K3" s="213"/>
    </row>
    <row r="4" spans="1:17" x14ac:dyDescent="0.2"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05">
        <f>Y19</f>
        <v>0</v>
      </c>
      <c r="I4" s="204">
        <f t="shared" ref="I4:I10" si="2">H4*J4</f>
        <v>0</v>
      </c>
      <c r="J4" s="85">
        <v>16</v>
      </c>
      <c r="K4" s="194"/>
    </row>
    <row r="5" spans="1:17" x14ac:dyDescent="0.2"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1.5151515000000001E-2</v>
      </c>
      <c r="G5" s="206"/>
      <c r="H5" s="205">
        <f>AA19</f>
        <v>0</v>
      </c>
      <c r="I5" s="204">
        <f t="shared" si="2"/>
        <v>0</v>
      </c>
      <c r="J5" s="85">
        <v>35</v>
      </c>
      <c r="K5" s="194"/>
    </row>
    <row r="6" spans="1:17" x14ac:dyDescent="0.2"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05">
        <f>AB19</f>
        <v>0</v>
      </c>
      <c r="I6" s="204">
        <f t="shared" si="2"/>
        <v>0</v>
      </c>
      <c r="J6" s="85">
        <v>12</v>
      </c>
      <c r="K6" s="194"/>
    </row>
    <row r="7" spans="1:17" x14ac:dyDescent="0.2"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0.24494949499999999</v>
      </c>
      <c r="G7" s="206"/>
      <c r="H7" s="205">
        <f>Z19</f>
        <v>0</v>
      </c>
      <c r="I7" s="204">
        <f t="shared" si="2"/>
        <v>0</v>
      </c>
      <c r="J7" s="85">
        <v>4</v>
      </c>
      <c r="K7" s="194"/>
      <c r="Q7" s="212"/>
    </row>
    <row r="8" spans="1:17" x14ac:dyDescent="0.2"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0.27525252500000003</v>
      </c>
      <c r="G8" s="206"/>
      <c r="H8" s="205">
        <f>W19</f>
        <v>0</v>
      </c>
      <c r="I8" s="204">
        <f t="shared" si="2"/>
        <v>0</v>
      </c>
      <c r="J8" s="85">
        <v>1001</v>
      </c>
      <c r="K8" s="194"/>
    </row>
    <row r="9" spans="1:17" x14ac:dyDescent="0.2"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0.196969697</v>
      </c>
      <c r="G9" s="206"/>
      <c r="H9" s="205">
        <f>X19</f>
        <v>0</v>
      </c>
      <c r="I9" s="204">
        <f t="shared" si="2"/>
        <v>0</v>
      </c>
      <c r="J9" s="85">
        <v>469</v>
      </c>
      <c r="K9" s="194"/>
    </row>
    <row r="10" spans="1:17" x14ac:dyDescent="0.2"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0.24747474699999999</v>
      </c>
      <c r="G10" s="206"/>
      <c r="H10" s="205">
        <f>AC19</f>
        <v>0</v>
      </c>
      <c r="I10" s="204">
        <f t="shared" si="2"/>
        <v>0</v>
      </c>
      <c r="J10" s="85">
        <v>18</v>
      </c>
      <c r="K10" s="194"/>
    </row>
    <row r="11" spans="1:17" x14ac:dyDescent="0.2">
      <c r="B11" s="209"/>
      <c r="C11" s="208"/>
      <c r="D11" s="206"/>
      <c r="E11" s="207"/>
      <c r="F11" s="206"/>
      <c r="G11" s="206"/>
      <c r="H11" s="211"/>
      <c r="I11" s="210"/>
      <c r="J11" s="194"/>
      <c r="K11" s="194"/>
    </row>
    <row r="12" spans="1:17" x14ac:dyDescent="0.2">
      <c r="B12" s="209"/>
      <c r="C12" s="208"/>
      <c r="D12" s="206"/>
      <c r="E12" s="207">
        <v>396000000</v>
      </c>
      <c r="F12" s="206">
        <v>1</v>
      </c>
      <c r="G12" s="206"/>
      <c r="H12" s="205">
        <f>SUM(H4:H11)</f>
        <v>0</v>
      </c>
      <c r="I12" s="204">
        <f>SUM(I4:I11)</f>
        <v>0</v>
      </c>
      <c r="J12" s="194">
        <f>SUM(J4:J11)</f>
        <v>1555</v>
      </c>
      <c r="K12" s="194"/>
    </row>
    <row r="13" spans="1:17" ht="51" x14ac:dyDescent="0.2">
      <c r="B13" s="203"/>
      <c r="C13" s="202"/>
      <c r="D13" s="201"/>
      <c r="E13" s="201"/>
      <c r="F13" s="201"/>
      <c r="G13" s="200" t="s">
        <v>440</v>
      </c>
      <c r="H13" s="199"/>
      <c r="I13" s="198">
        <f>I12/7</f>
        <v>0</v>
      </c>
      <c r="J13" s="197">
        <f>J12/7</f>
        <v>222.14285714285714</v>
      </c>
      <c r="K13" s="196"/>
    </row>
    <row r="14" spans="1:17" x14ac:dyDescent="0.2"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7" x14ac:dyDescent="0.2">
      <c r="A15" s="193"/>
    </row>
    <row r="16" spans="1:17" x14ac:dyDescent="0.2">
      <c r="A16" s="193"/>
    </row>
    <row r="17" spans="1:44" ht="19" x14ac:dyDescent="0.25">
      <c r="A17" s="192"/>
      <c r="B17" s="331" t="s">
        <v>554</v>
      </c>
      <c r="C17" s="332"/>
      <c r="D17" s="332"/>
      <c r="E17" s="332"/>
      <c r="F17" s="332"/>
      <c r="G17" s="332"/>
      <c r="H17" s="332"/>
      <c r="I17" s="333"/>
      <c r="J17" s="191"/>
      <c r="L17" s="324" t="s">
        <v>525</v>
      </c>
      <c r="M17" s="325"/>
      <c r="N17" s="325"/>
      <c r="O17" s="325"/>
      <c r="P17" s="325"/>
      <c r="Q17" s="325"/>
      <c r="R17" s="325"/>
      <c r="S17" s="325"/>
      <c r="T17" s="326"/>
      <c r="V17" s="324" t="s">
        <v>524</v>
      </c>
      <c r="W17" s="325"/>
      <c r="X17" s="325"/>
      <c r="Y17" s="325"/>
      <c r="Z17" s="325"/>
      <c r="AA17" s="325"/>
      <c r="AB17" s="325"/>
      <c r="AC17" s="326"/>
      <c r="AD17" s="140"/>
      <c r="AE17" s="324" t="s">
        <v>523</v>
      </c>
      <c r="AF17" s="325"/>
      <c r="AG17" s="325"/>
      <c r="AH17" s="325"/>
      <c r="AI17" s="325"/>
      <c r="AJ17" s="325"/>
      <c r="AK17" s="325"/>
      <c r="AL17" s="326"/>
      <c r="AN17" s="324" t="s">
        <v>522</v>
      </c>
      <c r="AO17" s="325"/>
      <c r="AP17" s="325"/>
      <c r="AQ17" s="325"/>
      <c r="AR17" s="326"/>
    </row>
    <row r="18" spans="1:44" ht="34" x14ac:dyDescent="0.2">
      <c r="B18" s="96" t="s">
        <v>270</v>
      </c>
      <c r="C18" s="168" t="s">
        <v>446</v>
      </c>
      <c r="D18" s="168" t="s">
        <v>444</v>
      </c>
      <c r="E18" s="168" t="s">
        <v>454</v>
      </c>
      <c r="F18" s="168" t="s">
        <v>521</v>
      </c>
      <c r="G18" s="168" t="s">
        <v>452</v>
      </c>
      <c r="H18" s="168" t="s">
        <v>450</v>
      </c>
      <c r="I18" s="167" t="s">
        <v>520</v>
      </c>
      <c r="J18" s="190" t="s">
        <v>463</v>
      </c>
      <c r="L18" s="137" t="s">
        <v>270</v>
      </c>
      <c r="M18" s="71" t="s">
        <v>446</v>
      </c>
      <c r="N18" s="71" t="s">
        <v>444</v>
      </c>
      <c r="O18" s="71" t="s">
        <v>454</v>
      </c>
      <c r="P18" s="71" t="s">
        <v>521</v>
      </c>
      <c r="Q18" s="71" t="s">
        <v>452</v>
      </c>
      <c r="R18" s="71" t="s">
        <v>450</v>
      </c>
      <c r="S18" s="71" t="s">
        <v>520</v>
      </c>
      <c r="T18" s="138" t="s">
        <v>409</v>
      </c>
      <c r="V18" s="137" t="s">
        <v>270</v>
      </c>
      <c r="W18" s="71" t="s">
        <v>446</v>
      </c>
      <c r="X18" s="71" t="s">
        <v>444</v>
      </c>
      <c r="Y18" s="71" t="s">
        <v>454</v>
      </c>
      <c r="Z18" s="71" t="s">
        <v>521</v>
      </c>
      <c r="AA18" s="71" t="s">
        <v>452</v>
      </c>
      <c r="AB18" s="71" t="s">
        <v>450</v>
      </c>
      <c r="AC18" s="138" t="s">
        <v>520</v>
      </c>
      <c r="AD18" s="28"/>
      <c r="AE18" s="137" t="s">
        <v>270</v>
      </c>
      <c r="AF18" s="71" t="s">
        <v>446</v>
      </c>
      <c r="AG18" s="71" t="s">
        <v>444</v>
      </c>
      <c r="AH18" s="71" t="s">
        <v>454</v>
      </c>
      <c r="AI18" s="71" t="s">
        <v>521</v>
      </c>
      <c r="AJ18" s="71" t="s">
        <v>452</v>
      </c>
      <c r="AK18" s="71" t="s">
        <v>450</v>
      </c>
      <c r="AL18" s="138" t="s">
        <v>520</v>
      </c>
      <c r="AN18" s="137" t="s">
        <v>270</v>
      </c>
      <c r="AO18" s="136"/>
      <c r="AP18" s="135" t="s">
        <v>519</v>
      </c>
      <c r="AQ18" s="135" t="s">
        <v>518</v>
      </c>
      <c r="AR18" s="134" t="s">
        <v>517</v>
      </c>
    </row>
    <row r="19" spans="1:44" x14ac:dyDescent="0.2">
      <c r="B19" s="189"/>
      <c r="C19" s="188"/>
      <c r="D19" s="188"/>
      <c r="E19" s="188"/>
      <c r="F19" s="188"/>
      <c r="G19" s="188"/>
      <c r="H19" s="188"/>
      <c r="I19" s="187"/>
      <c r="J19" s="182"/>
      <c r="L19" s="177" t="s">
        <v>516</v>
      </c>
      <c r="M19" s="173">
        <f>$E$8*C19</f>
        <v>0</v>
      </c>
      <c r="N19" s="173">
        <f>$E$9*D19</f>
        <v>0</v>
      </c>
      <c r="O19" s="173">
        <f>$E$4*E19</f>
        <v>0</v>
      </c>
      <c r="P19" s="173">
        <f>$E$7*F19</f>
        <v>0</v>
      </c>
      <c r="Q19" s="173">
        <f>$E$5*G19</f>
        <v>0</v>
      </c>
      <c r="R19" s="173">
        <f>$E$6*H19</f>
        <v>0</v>
      </c>
      <c r="S19" s="173">
        <f>$E$10*I19</f>
        <v>0</v>
      </c>
      <c r="T19" s="176">
        <f>SUM(M19:S19)</f>
        <v>0</v>
      </c>
      <c r="U19" s="3"/>
      <c r="V19" t="s">
        <v>516</v>
      </c>
      <c r="W19" s="121"/>
      <c r="X19" s="121"/>
      <c r="Y19" s="121"/>
      <c r="Z19" s="121"/>
      <c r="AA19" s="121"/>
      <c r="AB19" s="186"/>
      <c r="AC19" s="121"/>
      <c r="AD19" s="22"/>
      <c r="AE19" t="s">
        <v>516</v>
      </c>
      <c r="AF19">
        <f>W19*$J$8</f>
        <v>0</v>
      </c>
      <c r="AG19">
        <f>X19*$J$9</f>
        <v>0</v>
      </c>
      <c r="AH19">
        <f>Y19*$J$4</f>
        <v>0</v>
      </c>
      <c r="AI19">
        <f>Z19*$J$7</f>
        <v>0</v>
      </c>
      <c r="AJ19">
        <f t="shared" ref="AJ19:AK23" si="3">AA19*$J$5</f>
        <v>0</v>
      </c>
      <c r="AK19" s="185">
        <f t="shared" si="3"/>
        <v>0</v>
      </c>
      <c r="AL19">
        <f>AC19*$J$10</f>
        <v>0</v>
      </c>
      <c r="AN19" t="s">
        <v>516</v>
      </c>
      <c r="AO19" s="107">
        <f>SUM(AF19:AL19)</f>
        <v>0</v>
      </c>
      <c r="AP19" s="107">
        <f>AO19/7</f>
        <v>0</v>
      </c>
      <c r="AQ19" s="107">
        <f>109-AP19</f>
        <v>109</v>
      </c>
      <c r="AR19" s="114">
        <f>AQ19/109</f>
        <v>1</v>
      </c>
    </row>
    <row r="20" spans="1:44" x14ac:dyDescent="0.2">
      <c r="B20" s="99">
        <v>2020</v>
      </c>
      <c r="C20" s="184">
        <v>0.96517744665818006</v>
      </c>
      <c r="D20" s="184">
        <v>9.02586930626426E-2</v>
      </c>
      <c r="E20" s="184">
        <v>3.6059628962458491E-2</v>
      </c>
      <c r="F20" s="184">
        <v>0.13803795045398901</v>
      </c>
      <c r="G20" s="184">
        <v>0.108582319176728</v>
      </c>
      <c r="H20" s="184">
        <v>4.5328407535628903E-2</v>
      </c>
      <c r="I20" s="183">
        <f>(N46+N53+N55)/1000</f>
        <v>4.7458907204686242E-2</v>
      </c>
      <c r="J20" s="182">
        <f t="shared" ref="J20:J26" si="4">SUM(C20:I20)</f>
        <v>1.4309033530543132</v>
      </c>
      <c r="L20" s="115" t="s">
        <v>506</v>
      </c>
      <c r="M20" s="3">
        <f>$E$8*C20</f>
        <v>966142624.10483825</v>
      </c>
      <c r="N20" s="3">
        <f>$E$9*D20</f>
        <v>42331327.04637938</v>
      </c>
      <c r="O20" s="3">
        <f>$E$4*E20</f>
        <v>576954.06339933584</v>
      </c>
      <c r="P20" s="3">
        <f>$E$7*F20</f>
        <v>552151.80181595602</v>
      </c>
      <c r="Q20" s="3">
        <f>$E$5*G20</f>
        <v>3800381.17118548</v>
      </c>
      <c r="R20" s="3">
        <f>$E$6*H20</f>
        <v>543940.89042754681</v>
      </c>
      <c r="S20" s="3">
        <f>$E$10*I20</f>
        <v>854260.32968435239</v>
      </c>
      <c r="T20" s="172">
        <f>SUM(M20:S20)</f>
        <v>1014801639.4077303</v>
      </c>
      <c r="V20" t="s">
        <v>506</v>
      </c>
      <c r="W20" s="121">
        <f t="shared" ref="W20:AC20" si="5">M20/$T$20</f>
        <v>0.95205071275674036</v>
      </c>
      <c r="X20" s="121">
        <f t="shared" si="5"/>
        <v>4.1713893043260411E-2</v>
      </c>
      <c r="Y20" s="121">
        <f t="shared" si="5"/>
        <v>5.6853875771827099E-4</v>
      </c>
      <c r="Z20" s="121">
        <f t="shared" si="5"/>
        <v>5.4409825563369099E-4</v>
      </c>
      <c r="AA20" s="121">
        <f t="shared" si="5"/>
        <v>3.7449497750156376E-3</v>
      </c>
      <c r="AB20" s="121">
        <f t="shared" si="5"/>
        <v>5.3600710651690274E-4</v>
      </c>
      <c r="AC20" s="121">
        <f t="shared" si="5"/>
        <v>8.4180030511472686E-4</v>
      </c>
      <c r="AE20" t="s">
        <v>506</v>
      </c>
      <c r="AF20">
        <f>W20*$J$8</f>
        <v>953.00276346949715</v>
      </c>
      <c r="AG20">
        <f>X20*$J$9</f>
        <v>19.563815837289134</v>
      </c>
      <c r="AH20">
        <f>Y20*$J$4</f>
        <v>9.0966201234923359E-3</v>
      </c>
      <c r="AI20">
        <f>Z20*$J$7</f>
        <v>2.176393022534764E-3</v>
      </c>
      <c r="AJ20">
        <f t="shared" si="3"/>
        <v>0.13107324212554733</v>
      </c>
      <c r="AK20" s="185">
        <f t="shared" si="3"/>
        <v>1.8760248728091594E-2</v>
      </c>
      <c r="AL20">
        <f>AC20*$J$10</f>
        <v>1.5152405492065084E-2</v>
      </c>
      <c r="AN20" t="s">
        <v>506</v>
      </c>
      <c r="AO20" s="107">
        <f>SUM(AF20:AL20)</f>
        <v>972.74283821627796</v>
      </c>
      <c r="AP20" s="107">
        <f>AO20/7</f>
        <v>138.96326260232541</v>
      </c>
      <c r="AQ20" s="107">
        <f>109-AP20</f>
        <v>-29.963262602325415</v>
      </c>
      <c r="AR20" s="114">
        <f>AQ20/109</f>
        <v>-0.27489231745252674</v>
      </c>
    </row>
    <row r="21" spans="1:44" x14ac:dyDescent="0.2">
      <c r="B21" s="99">
        <v>2025</v>
      </c>
      <c r="C21" s="184">
        <f>O48/1000</f>
        <v>0.93934682287415505</v>
      </c>
      <c r="D21" s="184">
        <f>O47/1000</f>
        <v>7.2684516819029293E-2</v>
      </c>
      <c r="E21" s="184">
        <f>O49/1000</f>
        <v>5.1944417283541412E-2</v>
      </c>
      <c r="F21" s="184">
        <f>O51/1000</f>
        <v>0.222840406388114</v>
      </c>
      <c r="G21" s="184">
        <f>O54/1000</f>
        <v>0.37906654711728799</v>
      </c>
      <c r="H21" s="184">
        <f>O52/1000</f>
        <v>0.21904618841784601</v>
      </c>
      <c r="I21" s="183">
        <f>(O46+O53+O55)/1000</f>
        <v>6.8364946433683071E-2</v>
      </c>
      <c r="J21" s="182">
        <f t="shared" si="4"/>
        <v>1.953293845333657</v>
      </c>
      <c r="L21" s="115" t="s">
        <v>496</v>
      </c>
      <c r="M21" s="3">
        <f>$E$8*C22</f>
        <v>888846156.76077127</v>
      </c>
      <c r="N21" s="3">
        <f>$E$9*D22</f>
        <v>34089038.388124742</v>
      </c>
      <c r="O21" s="3">
        <f>$E$4*E22</f>
        <v>1109384.3405556353</v>
      </c>
      <c r="P21" s="3">
        <f>$E$7*F22</f>
        <v>1144517.6657430441</v>
      </c>
      <c r="Q21" s="3">
        <f>$E$5*G22</f>
        <v>13163521.050127352</v>
      </c>
      <c r="R21" s="3">
        <f>$E$6*H22</f>
        <v>9234569.8307344969</v>
      </c>
      <c r="S21" s="3">
        <f>$E$10*I22</f>
        <v>1446059.2986354241</v>
      </c>
      <c r="T21" s="172">
        <f>SUM(M21:S21)</f>
        <v>949033247.334692</v>
      </c>
      <c r="V21" t="s">
        <v>496</v>
      </c>
      <c r="W21" s="121">
        <f t="shared" ref="W21:AC21" si="6">M21/$T$21</f>
        <v>0.936580630085455</v>
      </c>
      <c r="X21" s="121">
        <f t="shared" si="6"/>
        <v>3.5919751477476627E-2</v>
      </c>
      <c r="Y21" s="121">
        <f t="shared" si="6"/>
        <v>1.1689625665605293E-3</v>
      </c>
      <c r="Z21" s="121">
        <f t="shared" si="6"/>
        <v>1.2059826870737768E-3</v>
      </c>
      <c r="AA21" s="121">
        <f t="shared" si="6"/>
        <v>1.3870452997401705E-2</v>
      </c>
      <c r="AB21" s="121">
        <f t="shared" si="6"/>
        <v>9.7305019151534278E-3</v>
      </c>
      <c r="AC21" s="121">
        <f t="shared" si="6"/>
        <v>1.5237182708789209E-3</v>
      </c>
      <c r="AE21" t="s">
        <v>496</v>
      </c>
      <c r="AF21">
        <f>W21*$J$8</f>
        <v>937.5172107155405</v>
      </c>
      <c r="AG21">
        <f>X21*$J$9</f>
        <v>16.846363442936539</v>
      </c>
      <c r="AH21">
        <f>Y21*$J$4</f>
        <v>1.870340106496847E-2</v>
      </c>
      <c r="AI21">
        <f>Z21*$J$7</f>
        <v>4.823930748295107E-3</v>
      </c>
      <c r="AJ21">
        <f t="shared" si="3"/>
        <v>0.48546585490905969</v>
      </c>
      <c r="AK21" s="185">
        <f t="shared" si="3"/>
        <v>0.34056756703036994</v>
      </c>
      <c r="AL21">
        <f>AC21*$J$10</f>
        <v>2.7426928875820576E-2</v>
      </c>
      <c r="AN21" t="s">
        <v>496</v>
      </c>
      <c r="AO21" s="107">
        <f>SUM(AF21:AL21)</f>
        <v>955.24056184110555</v>
      </c>
      <c r="AP21" s="107">
        <f>AO21/7</f>
        <v>136.46293740587222</v>
      </c>
      <c r="AQ21" s="107">
        <f>109-AP21</f>
        <v>-27.462937405872225</v>
      </c>
      <c r="AR21" s="114">
        <f>AQ21/109</f>
        <v>-0.25195355418231397</v>
      </c>
    </row>
    <row r="22" spans="1:44" x14ac:dyDescent="0.2">
      <c r="B22" s="99">
        <v>2030</v>
      </c>
      <c r="C22" s="184">
        <v>0.88795819856220903</v>
      </c>
      <c r="D22" s="184">
        <v>7.2684516819029293E-2</v>
      </c>
      <c r="E22" s="184">
        <v>6.9336521284727198E-2</v>
      </c>
      <c r="F22" s="184">
        <v>0.28612941643576101</v>
      </c>
      <c r="G22" s="184">
        <v>0.37610060143221002</v>
      </c>
      <c r="H22" s="184">
        <v>0.76954748589454136</v>
      </c>
      <c r="I22" s="183">
        <f>(P46+P53+P55)/1000</f>
        <v>8.0336627701968005E-2</v>
      </c>
      <c r="J22" s="182">
        <f t="shared" si="4"/>
        <v>2.5420933681304461</v>
      </c>
      <c r="L22" s="115" t="s">
        <v>486</v>
      </c>
      <c r="M22" s="3">
        <f>$E$8*C24</f>
        <v>1211039954.8512664</v>
      </c>
      <c r="N22" s="3">
        <f>$E$9*D24</f>
        <v>23980914.244759392</v>
      </c>
      <c r="O22" s="3">
        <f>$E$4*E24</f>
        <v>1703034.8237961119</v>
      </c>
      <c r="P22" s="3">
        <f>$E$7*F24</f>
        <v>1200943.8142030004</v>
      </c>
      <c r="Q22" s="3">
        <f>$E$5*G24</f>
        <v>42844952.940422148</v>
      </c>
      <c r="R22" s="3">
        <f>$E$6*H24</f>
        <v>14689698.15100188</v>
      </c>
      <c r="S22" s="3">
        <f>$E$10*I24</f>
        <v>1788704.0302495665</v>
      </c>
      <c r="T22" s="172">
        <f>SUM(M22:S22)</f>
        <v>1297248202.8556983</v>
      </c>
      <c r="V22" t="s">
        <v>486</v>
      </c>
      <c r="W22" s="121">
        <f>M22/T22</f>
        <v>0.93354529394247199</v>
      </c>
      <c r="X22" s="121">
        <f t="shared" ref="X22:AC22" si="7">N22/$T$22</f>
        <v>1.8485987640583342E-2</v>
      </c>
      <c r="Y22" s="121">
        <f t="shared" si="7"/>
        <v>1.3128056913450602E-3</v>
      </c>
      <c r="Z22" s="121">
        <f t="shared" si="7"/>
        <v>9.2576255766575874E-4</v>
      </c>
      <c r="AA22" s="121">
        <f t="shared" si="7"/>
        <v>3.3027567774698299E-2</v>
      </c>
      <c r="AB22" s="121">
        <f t="shared" si="7"/>
        <v>1.1323737522753704E-2</v>
      </c>
      <c r="AC22" s="121">
        <f t="shared" si="7"/>
        <v>1.3788448704819952E-3</v>
      </c>
      <c r="AE22" t="s">
        <v>486</v>
      </c>
      <c r="AF22">
        <f>W22*$J$8</f>
        <v>934.4788392364145</v>
      </c>
      <c r="AG22">
        <f>X22*$J$9</f>
        <v>8.6699282034335869</v>
      </c>
      <c r="AH22">
        <f>Y22*$J$4</f>
        <v>2.1004891061520963E-2</v>
      </c>
      <c r="AI22">
        <f>Z22*$J$7</f>
        <v>3.7030502306630349E-3</v>
      </c>
      <c r="AJ22">
        <f t="shared" si="3"/>
        <v>1.1559648721144404</v>
      </c>
      <c r="AK22" s="185">
        <f t="shared" si="3"/>
        <v>0.39633081329637965</v>
      </c>
      <c r="AL22">
        <f>AC22*$J$10</f>
        <v>2.4819207668675916E-2</v>
      </c>
      <c r="AN22" t="s">
        <v>486</v>
      </c>
      <c r="AO22" s="107">
        <f>SUM(AF22:AL22)</f>
        <v>944.75059027421969</v>
      </c>
      <c r="AP22" s="107">
        <f>AO22/7</f>
        <v>134.96437003917424</v>
      </c>
      <c r="AQ22" s="107">
        <f>109-AP22</f>
        <v>-25.964370039174241</v>
      </c>
      <c r="AR22" s="114">
        <f>AQ22/109</f>
        <v>-0.23820522971719488</v>
      </c>
    </row>
    <row r="23" spans="1:44" x14ac:dyDescent="0.2">
      <c r="B23" s="99">
        <v>2035</v>
      </c>
      <c r="C23" s="184">
        <f>Q48/1000</f>
        <v>1.0494405821705</v>
      </c>
      <c r="D23" s="184">
        <f>Q47/1000</f>
        <v>6.0824465665988099E-2</v>
      </c>
      <c r="E23" s="184">
        <f>Q49/1000</f>
        <v>7.6351336565205499E-2</v>
      </c>
      <c r="F23" s="184">
        <f>Q51/1000</f>
        <v>0.295224211979568</v>
      </c>
      <c r="G23" s="184">
        <f>Q54/1000</f>
        <v>1.0204309793597</v>
      </c>
      <c r="H23" s="184">
        <f>Q52/1000</f>
        <v>0.61385189623148306</v>
      </c>
      <c r="I23" s="183">
        <f>(Q46+Q53+Q55)/1000</f>
        <v>9.9372446124975922E-2</v>
      </c>
      <c r="J23" s="182">
        <f t="shared" si="4"/>
        <v>3.215495918097421</v>
      </c>
      <c r="L23" s="115" t="s">
        <v>476</v>
      </c>
      <c r="M23" s="3">
        <f>$E$8*C26</f>
        <v>1218472728.6878648</v>
      </c>
      <c r="N23" s="3">
        <f>$E$9*D26</f>
        <v>20353814.803889994</v>
      </c>
      <c r="O23" s="3">
        <f>$E$4*E26</f>
        <v>2413560.2459245441</v>
      </c>
      <c r="P23" s="3">
        <f>$E$7*F26</f>
        <v>1241037.746772452</v>
      </c>
      <c r="Q23" s="3">
        <f>$E$5*G26</f>
        <v>93652941.719692945</v>
      </c>
      <c r="R23" s="3">
        <f>$E$6*H26</f>
        <v>32109580.018180437</v>
      </c>
      <c r="S23" s="3">
        <f>$E$10*I26</f>
        <v>3457902.7047233768</v>
      </c>
      <c r="T23" s="172">
        <f>SUM(M23:S23)</f>
        <v>1371701565.9270484</v>
      </c>
      <c r="V23" t="s">
        <v>476</v>
      </c>
      <c r="W23" s="121">
        <f>M23/T23</f>
        <v>0.88829287576439719</v>
      </c>
      <c r="X23" s="121">
        <f t="shared" ref="X23:AC23" si="8">N23/$T$23</f>
        <v>1.4838369591080919E-2</v>
      </c>
      <c r="Y23" s="121">
        <f t="shared" si="8"/>
        <v>1.7595374284590597E-3</v>
      </c>
      <c r="Z23" s="121">
        <f t="shared" si="8"/>
        <v>9.0474326019574901E-4</v>
      </c>
      <c r="AA23" s="121">
        <f t="shared" si="8"/>
        <v>6.8275012616464209E-2</v>
      </c>
      <c r="AB23" s="121">
        <f t="shared" si="8"/>
        <v>2.3408575754216298E-2</v>
      </c>
      <c r="AC23" s="121">
        <f t="shared" si="8"/>
        <v>2.5208855851865954E-3</v>
      </c>
      <c r="AE23" t="s">
        <v>476</v>
      </c>
      <c r="AF23">
        <f>W23*$J$8</f>
        <v>889.18116864016156</v>
      </c>
      <c r="AG23">
        <f>X23*$J$9</f>
        <v>6.9591953382169507</v>
      </c>
      <c r="AH23">
        <f>Y23*$J$4</f>
        <v>2.8152598855344955E-2</v>
      </c>
      <c r="AI23">
        <f>Z23*$J$7</f>
        <v>3.6189730407829961E-3</v>
      </c>
      <c r="AJ23">
        <f t="shared" si="3"/>
        <v>2.3896254415762472</v>
      </c>
      <c r="AK23" s="185">
        <f t="shared" si="3"/>
        <v>0.8193001513975704</v>
      </c>
      <c r="AL23">
        <f>AC23*$J$10</f>
        <v>4.5375940533358715E-2</v>
      </c>
      <c r="AN23" t="s">
        <v>476</v>
      </c>
      <c r="AO23" s="107">
        <f>SUM(AF23:AL23)</f>
        <v>899.42643708378205</v>
      </c>
      <c r="AP23" s="107">
        <f>AO23/7</f>
        <v>128.48949101196885</v>
      </c>
      <c r="AQ23" s="107">
        <f>109-AP23</f>
        <v>-19.489491011968852</v>
      </c>
      <c r="AR23" s="114">
        <f>AQ23/109</f>
        <v>-0.17880266983457663</v>
      </c>
    </row>
    <row r="24" spans="1:44" x14ac:dyDescent="0.2">
      <c r="B24" s="99">
        <v>2040</v>
      </c>
      <c r="C24" s="184">
        <v>1.2098301247265399</v>
      </c>
      <c r="D24" s="184">
        <v>5.1132013315052009E-2</v>
      </c>
      <c r="E24" s="184">
        <v>0.106439676487257</v>
      </c>
      <c r="F24" s="184">
        <v>0.30023595355075011</v>
      </c>
      <c r="G24" s="184">
        <f>R54/1000</f>
        <v>1.22414151258349</v>
      </c>
      <c r="H24" s="184">
        <v>1.22414151258349</v>
      </c>
      <c r="I24" s="183">
        <f>(Q46+Q53+Q55)/1000</f>
        <v>9.9372446124975922E-2</v>
      </c>
      <c r="J24" s="182">
        <f t="shared" si="4"/>
        <v>4.2152932393715545</v>
      </c>
      <c r="L24" s="113"/>
      <c r="M24" s="109"/>
      <c r="N24" s="109"/>
      <c r="O24" s="109"/>
      <c r="P24" s="109"/>
      <c r="Q24" s="109"/>
      <c r="R24" s="109"/>
      <c r="S24" s="109"/>
      <c r="T24" s="108"/>
    </row>
    <row r="25" spans="1:44" x14ac:dyDescent="0.2">
      <c r="B25" s="99">
        <v>2045</v>
      </c>
      <c r="C25" s="184">
        <f>S48/1000</f>
        <v>1.3573542660737801</v>
      </c>
      <c r="D25" s="184">
        <f>S47/1000</f>
        <v>4.3398325807867795E-2</v>
      </c>
      <c r="E25" s="184">
        <f>S49/1000</f>
        <v>0.12765804336870301</v>
      </c>
      <c r="F25" s="184">
        <f>S51/1000</f>
        <v>0.30524769512193095</v>
      </c>
      <c r="G25" s="184">
        <f>S54/1000</f>
        <v>1.69446041007146</v>
      </c>
      <c r="H25" s="184">
        <f>S52/1000</f>
        <v>1.1243331641327299</v>
      </c>
      <c r="I25" s="183">
        <f>(S46+S53+S55)/1000</f>
        <v>0.15467745331487479</v>
      </c>
      <c r="J25" s="182">
        <f t="shared" si="4"/>
        <v>4.8071293578913465</v>
      </c>
    </row>
    <row r="26" spans="1:44" x14ac:dyDescent="0.2">
      <c r="B26" s="98">
        <v>2050</v>
      </c>
      <c r="C26" s="184">
        <v>1.2172554732146501</v>
      </c>
      <c r="D26" s="184">
        <v>4.3398325807867788E-2</v>
      </c>
      <c r="E26" s="184">
        <v>0.15084751537028401</v>
      </c>
      <c r="F26" s="184">
        <v>0.31025943669311301</v>
      </c>
      <c r="G26" s="184">
        <f>T54/1000</f>
        <v>2.6757983348483698</v>
      </c>
      <c r="H26" s="184">
        <v>2.6757983348483698</v>
      </c>
      <c r="I26" s="183">
        <f>(T46+T53+T55)/1000</f>
        <v>0.19210570581796538</v>
      </c>
      <c r="J26" s="182">
        <f t="shared" si="4"/>
        <v>7.2654631266006202</v>
      </c>
    </row>
    <row r="27" spans="1:44" ht="19" x14ac:dyDescent="0.25">
      <c r="B27" s="181"/>
      <c r="C27" s="180"/>
      <c r="D27" s="180"/>
      <c r="E27" s="180"/>
      <c r="F27" s="180"/>
      <c r="G27" s="180"/>
      <c r="H27" s="180"/>
      <c r="I27" s="179"/>
      <c r="J27" s="178"/>
      <c r="L27" s="324" t="s">
        <v>553</v>
      </c>
      <c r="M27" s="325"/>
      <c r="N27" s="325"/>
      <c r="O27" s="325"/>
      <c r="P27" s="325"/>
      <c r="Q27" s="325"/>
      <c r="R27" s="325"/>
      <c r="S27" s="325"/>
      <c r="T27" s="326"/>
    </row>
    <row r="28" spans="1:44" x14ac:dyDescent="0.2">
      <c r="L28" s="137" t="s">
        <v>270</v>
      </c>
      <c r="M28" s="71" t="s">
        <v>446</v>
      </c>
      <c r="N28" s="71" t="s">
        <v>444</v>
      </c>
      <c r="O28" s="71" t="s">
        <v>454</v>
      </c>
      <c r="P28" s="71" t="s">
        <v>521</v>
      </c>
      <c r="Q28" s="71" t="s">
        <v>452</v>
      </c>
      <c r="R28" s="71" t="s">
        <v>450</v>
      </c>
      <c r="S28" s="71" t="s">
        <v>520</v>
      </c>
      <c r="T28" s="138" t="s">
        <v>409</v>
      </c>
    </row>
    <row r="29" spans="1:44" x14ac:dyDescent="0.2">
      <c r="L29" s="177" t="s">
        <v>516</v>
      </c>
      <c r="M29" s="173">
        <f t="shared" ref="M29:S30" si="9">M19*C32</f>
        <v>0</v>
      </c>
      <c r="N29" s="173">
        <f t="shared" si="9"/>
        <v>0</v>
      </c>
      <c r="O29" s="173">
        <f t="shared" si="9"/>
        <v>0</v>
      </c>
      <c r="P29" s="173">
        <f t="shared" si="9"/>
        <v>0</v>
      </c>
      <c r="Q29" s="173">
        <f t="shared" si="9"/>
        <v>0</v>
      </c>
      <c r="R29" s="173">
        <f t="shared" si="9"/>
        <v>0</v>
      </c>
      <c r="S29" s="173">
        <f t="shared" si="9"/>
        <v>0</v>
      </c>
      <c r="T29" s="176">
        <f>SUM(M29:S29)</f>
        <v>0</v>
      </c>
    </row>
    <row r="30" spans="1:44" ht="19" x14ac:dyDescent="0.2">
      <c r="B30" s="331" t="s">
        <v>552</v>
      </c>
      <c r="C30" s="332"/>
      <c r="D30" s="332"/>
      <c r="E30" s="332"/>
      <c r="F30" s="332"/>
      <c r="G30" s="332"/>
      <c r="H30" s="332"/>
      <c r="I30" s="333"/>
      <c r="L30" s="115" t="s">
        <v>506</v>
      </c>
      <c r="M30" s="173">
        <f t="shared" si="9"/>
        <v>651685572.64939654</v>
      </c>
      <c r="N30" s="173">
        <f t="shared" si="9"/>
        <v>2670180.516844782</v>
      </c>
      <c r="O30" s="173">
        <f t="shared" si="9"/>
        <v>14539.590958504878</v>
      </c>
      <c r="P30" s="173">
        <f t="shared" si="9"/>
        <v>53265.584219550481</v>
      </c>
      <c r="Q30" s="173">
        <f t="shared" si="9"/>
        <v>288387.19291702291</v>
      </c>
      <c r="R30" s="173">
        <f t="shared" si="9"/>
        <v>17231.054986322921</v>
      </c>
      <c r="S30" s="173">
        <f t="shared" si="9"/>
        <v>28333.333364965205</v>
      </c>
      <c r="T30" s="172">
        <f>SUM(M30:S30)</f>
        <v>654757509.92268765</v>
      </c>
    </row>
    <row r="31" spans="1:44" x14ac:dyDescent="0.2">
      <c r="B31" s="96" t="s">
        <v>270</v>
      </c>
      <c r="C31" s="168" t="s">
        <v>446</v>
      </c>
      <c r="D31" s="168" t="s">
        <v>444</v>
      </c>
      <c r="E31" s="168" t="s">
        <v>454</v>
      </c>
      <c r="F31" s="168" t="s">
        <v>521</v>
      </c>
      <c r="G31" s="168" t="s">
        <v>452</v>
      </c>
      <c r="H31" s="168" t="s">
        <v>450</v>
      </c>
      <c r="I31" s="167" t="s">
        <v>520</v>
      </c>
      <c r="J31" s="28"/>
      <c r="K31" s="28"/>
      <c r="L31" s="115" t="s">
        <v>496</v>
      </c>
      <c r="M31" s="173">
        <f t="shared" ref="M31:S31" si="10">M21*C35</f>
        <v>310475705.5940429</v>
      </c>
      <c r="N31" s="173">
        <f t="shared" si="10"/>
        <v>974686.97063964175</v>
      </c>
      <c r="O31" s="173">
        <f t="shared" si="10"/>
        <v>30258.86141957462</v>
      </c>
      <c r="P31" s="173">
        <f t="shared" si="10"/>
        <v>128823.03061917753</v>
      </c>
      <c r="Q31" s="173">
        <f t="shared" si="10"/>
        <v>1947532.0009821157</v>
      </c>
      <c r="R31" s="173">
        <f t="shared" si="10"/>
        <v>2795507.0752517893</v>
      </c>
      <c r="S31" s="173">
        <f t="shared" si="10"/>
        <v>45699.15840458688</v>
      </c>
      <c r="T31" s="172">
        <f>SUM(M31:S31)</f>
        <v>316398212.69135982</v>
      </c>
    </row>
    <row r="32" spans="1:44" x14ac:dyDescent="0.2">
      <c r="B32" s="101"/>
      <c r="C32" s="175"/>
      <c r="D32" s="175"/>
      <c r="E32" s="175"/>
      <c r="F32" s="175"/>
      <c r="G32" s="175"/>
      <c r="H32" s="175"/>
      <c r="I32" s="174"/>
      <c r="J32" s="21"/>
      <c r="L32" s="115" t="s">
        <v>486</v>
      </c>
      <c r="M32" s="173">
        <f t="shared" ref="M32:S32" si="11">M22*C37</f>
        <v>347580236.16050166</v>
      </c>
      <c r="N32" s="173">
        <f t="shared" si="11"/>
        <v>290891.37026513653</v>
      </c>
      <c r="O32" s="173">
        <f t="shared" si="11"/>
        <v>43003.052313963315</v>
      </c>
      <c r="P32" s="173">
        <f t="shared" si="11"/>
        <v>85537.705384375222</v>
      </c>
      <c r="Q32" s="173">
        <f t="shared" si="11"/>
        <v>12442381.23440166</v>
      </c>
      <c r="R32" s="173">
        <f t="shared" si="11"/>
        <v>4265959.2803662838</v>
      </c>
      <c r="S32" s="173">
        <f t="shared" si="11"/>
        <v>42167.385466640102</v>
      </c>
      <c r="T32" s="172">
        <f>SUM(M32:S32)</f>
        <v>364750176.18869972</v>
      </c>
    </row>
    <row r="33" spans="2:21" x14ac:dyDescent="0.2">
      <c r="B33" s="99">
        <v>2020</v>
      </c>
      <c r="C33" s="171">
        <f t="shared" ref="C33:C39" si="12">C20/J20</f>
        <v>0.67452315671633245</v>
      </c>
      <c r="D33" s="171">
        <f>D20/J20</f>
        <v>6.3078119755595144E-2</v>
      </c>
      <c r="E33" s="171">
        <f t="shared" ref="E33:E39" si="13">E20/J20</f>
        <v>2.5200604139677188E-2</v>
      </c>
      <c r="F33" s="171">
        <f t="shared" ref="F33:F39" si="14">F20/J20</f>
        <v>9.6469094267856867E-2</v>
      </c>
      <c r="G33" s="171">
        <f t="shared" ref="G33:G39" si="15">G20/J20</f>
        <v>7.5883754793749869E-2</v>
      </c>
      <c r="H33" s="171">
        <f t="shared" ref="H33:H39" si="16">H20/J20</f>
        <v>3.1678175495831941E-2</v>
      </c>
      <c r="I33" s="170">
        <f t="shared" ref="I33:I39" si="17">I20/J20</f>
        <v>3.3167094830956645E-2</v>
      </c>
      <c r="L33" s="115" t="s">
        <v>476</v>
      </c>
      <c r="M33" s="173">
        <f t="shared" ref="M33:S33" si="18">M23*C39</f>
        <v>204142884.23373392</v>
      </c>
      <c r="N33" s="173">
        <f t="shared" si="18"/>
        <v>121578.13905326513</v>
      </c>
      <c r="O33" s="173">
        <f t="shared" si="18"/>
        <v>50110.992231345255</v>
      </c>
      <c r="P33" s="173">
        <f t="shared" si="18"/>
        <v>52996.438839359471</v>
      </c>
      <c r="Q33" s="173">
        <f t="shared" si="18"/>
        <v>34491453.764277153</v>
      </c>
      <c r="R33" s="173">
        <f t="shared" si="18"/>
        <v>11825641.290609308</v>
      </c>
      <c r="S33" s="173">
        <f t="shared" si="18"/>
        <v>91430.212797947519</v>
      </c>
      <c r="T33" s="172">
        <f>SUM(M33:S33)</f>
        <v>250776095.07154226</v>
      </c>
    </row>
    <row r="34" spans="2:21" x14ac:dyDescent="0.2">
      <c r="B34" s="99">
        <v>2025</v>
      </c>
      <c r="C34" s="171">
        <f t="shared" si="12"/>
        <v>0.48090399973266595</v>
      </c>
      <c r="D34" s="171">
        <f t="shared" ref="D34:D39" si="19">D21/J21</f>
        <v>3.7211255742534477E-2</v>
      </c>
      <c r="E34" s="171">
        <f t="shared" si="13"/>
        <v>2.6593242694966046E-2</v>
      </c>
      <c r="F34" s="171">
        <f t="shared" si="14"/>
        <v>0.11408442560778607</v>
      </c>
      <c r="G34" s="171">
        <f t="shared" si="15"/>
        <v>0.19406529541003942</v>
      </c>
      <c r="H34" s="171">
        <f t="shared" si="16"/>
        <v>0.11214195393137537</v>
      </c>
      <c r="I34" s="170">
        <f t="shared" si="17"/>
        <v>3.4999826880632565E-2</v>
      </c>
      <c r="L34" s="113"/>
      <c r="M34" s="109"/>
      <c r="N34" s="109"/>
      <c r="O34" s="109"/>
      <c r="P34" s="109"/>
      <c r="Q34" s="109"/>
      <c r="R34" s="109"/>
      <c r="S34" s="109"/>
      <c r="T34" s="108"/>
    </row>
    <row r="35" spans="2:21" x14ac:dyDescent="0.2">
      <c r="B35" s="99">
        <v>2030</v>
      </c>
      <c r="C35" s="171">
        <f t="shared" si="12"/>
        <v>0.34930196101146666</v>
      </c>
      <c r="D35" s="171">
        <f t="shared" si="19"/>
        <v>2.8592386782584741E-2</v>
      </c>
      <c r="E35" s="171">
        <f t="shared" si="13"/>
        <v>2.7275363743118515E-2</v>
      </c>
      <c r="F35" s="171">
        <f t="shared" si="14"/>
        <v>0.11255661181563589</v>
      </c>
      <c r="G35" s="171">
        <f t="shared" si="15"/>
        <v>0.14794916903811797</v>
      </c>
      <c r="H35" s="171">
        <f t="shared" si="16"/>
        <v>0.30272195960311893</v>
      </c>
      <c r="I35" s="170">
        <f t="shared" si="17"/>
        <v>3.1602548005957264E-2</v>
      </c>
    </row>
    <row r="36" spans="2:21" x14ac:dyDescent="0.2">
      <c r="B36" s="99">
        <v>2035</v>
      </c>
      <c r="C36" s="171">
        <f t="shared" si="12"/>
        <v>0.32636974479241265</v>
      </c>
      <c r="D36" s="171">
        <f t="shared" si="19"/>
        <v>1.8916045056582554E-2</v>
      </c>
      <c r="E36" s="171">
        <f t="shared" si="13"/>
        <v>2.3744809046556611E-2</v>
      </c>
      <c r="F36" s="171">
        <f t="shared" si="14"/>
        <v>9.18129643138373E-2</v>
      </c>
      <c r="G36" s="171">
        <f t="shared" si="15"/>
        <v>0.31734793181248366</v>
      </c>
      <c r="H36" s="171">
        <f t="shared" si="16"/>
        <v>0.19090426853805292</v>
      </c>
      <c r="I36" s="170">
        <f t="shared" si="17"/>
        <v>3.0904236440074125E-2</v>
      </c>
    </row>
    <row r="37" spans="2:21" x14ac:dyDescent="0.2">
      <c r="B37" s="99">
        <v>2040</v>
      </c>
      <c r="C37" s="171">
        <f t="shared" si="12"/>
        <v>0.28700971819149407</v>
      </c>
      <c r="D37" s="171">
        <f t="shared" si="19"/>
        <v>1.2130120115362396E-2</v>
      </c>
      <c r="E37" s="171">
        <f t="shared" si="13"/>
        <v>2.5250835574875868E-2</v>
      </c>
      <c r="F37" s="171">
        <f t="shared" si="14"/>
        <v>7.1225401532328841E-2</v>
      </c>
      <c r="G37" s="171">
        <f t="shared" si="15"/>
        <v>0.29040482905193887</v>
      </c>
      <c r="H37" s="171">
        <f t="shared" si="16"/>
        <v>0.29040482905193887</v>
      </c>
      <c r="I37" s="170">
        <f t="shared" si="17"/>
        <v>2.3574266482061179E-2</v>
      </c>
    </row>
    <row r="38" spans="2:21" x14ac:dyDescent="0.2">
      <c r="B38" s="99">
        <v>2045</v>
      </c>
      <c r="C38" s="171">
        <f t="shared" si="12"/>
        <v>0.28236275020258356</v>
      </c>
      <c r="D38" s="171">
        <f t="shared" si="19"/>
        <v>9.0279088780137445E-3</v>
      </c>
      <c r="E38" s="171">
        <f t="shared" si="13"/>
        <v>2.655598255518973E-2</v>
      </c>
      <c r="F38" s="171">
        <f t="shared" si="14"/>
        <v>6.3498955904075824E-2</v>
      </c>
      <c r="G38" s="171">
        <f t="shared" si="15"/>
        <v>0.35248903949086513</v>
      </c>
      <c r="H38" s="171">
        <f t="shared" si="16"/>
        <v>0.23388868499805049</v>
      </c>
      <c r="I38" s="170">
        <f t="shared" si="17"/>
        <v>3.2176677971221528E-2</v>
      </c>
    </row>
    <row r="39" spans="2:21" x14ac:dyDescent="0.2">
      <c r="B39" s="98">
        <v>2050</v>
      </c>
      <c r="C39" s="171">
        <f t="shared" si="12"/>
        <v>0.16753996985518832</v>
      </c>
      <c r="D39" s="171">
        <f t="shared" si="19"/>
        <v>5.9732359867020737E-3</v>
      </c>
      <c r="E39" s="171">
        <f t="shared" si="13"/>
        <v>2.0762271136989838E-2</v>
      </c>
      <c r="F39" s="171">
        <f t="shared" si="14"/>
        <v>4.2703325484810192E-2</v>
      </c>
      <c r="G39" s="171">
        <f t="shared" si="15"/>
        <v>0.3682901266199568</v>
      </c>
      <c r="H39" s="171">
        <f t="shared" si="16"/>
        <v>0.3682901266199568</v>
      </c>
      <c r="I39" s="170">
        <f t="shared" si="17"/>
        <v>2.6440944296395898E-2</v>
      </c>
    </row>
    <row r="40" spans="2:21" x14ac:dyDescent="0.2">
      <c r="B40" s="154"/>
      <c r="C40" s="153"/>
      <c r="D40" s="153"/>
      <c r="E40" s="153"/>
      <c r="F40" s="153"/>
      <c r="G40" s="153"/>
      <c r="H40" s="153"/>
      <c r="I40" s="152"/>
      <c r="M40" s="166" t="s">
        <v>551</v>
      </c>
      <c r="U40" s="165"/>
    </row>
    <row r="41" spans="2:21" x14ac:dyDescent="0.2">
      <c r="M41" s="166" t="s">
        <v>550</v>
      </c>
      <c r="U41" s="165"/>
    </row>
    <row r="42" spans="2:21" x14ac:dyDescent="0.2">
      <c r="U42" s="165"/>
    </row>
    <row r="43" spans="2:21" ht="19" customHeight="1" x14ac:dyDescent="0.2">
      <c r="B43" s="331" t="s">
        <v>549</v>
      </c>
      <c r="C43" s="332"/>
      <c r="D43" s="332"/>
      <c r="E43" s="332"/>
      <c r="F43" s="332"/>
      <c r="G43" s="332"/>
      <c r="H43" s="332"/>
      <c r="I43" s="333"/>
      <c r="J43" s="334" t="s">
        <v>548</v>
      </c>
      <c r="K43" s="335" t="s">
        <v>547</v>
      </c>
      <c r="L43" s="336" t="s">
        <v>546</v>
      </c>
      <c r="M43" s="169" t="s">
        <v>545</v>
      </c>
      <c r="U43" s="165"/>
    </row>
    <row r="44" spans="2:21" x14ac:dyDescent="0.2">
      <c r="B44" s="96" t="s">
        <v>270</v>
      </c>
      <c r="C44" s="168" t="s">
        <v>446</v>
      </c>
      <c r="D44" s="168" t="s">
        <v>444</v>
      </c>
      <c r="E44" s="168" t="s">
        <v>454</v>
      </c>
      <c r="F44" s="168" t="s">
        <v>521</v>
      </c>
      <c r="G44" s="168" t="s">
        <v>452</v>
      </c>
      <c r="H44" s="168" t="s">
        <v>450</v>
      </c>
      <c r="I44" s="167" t="s">
        <v>520</v>
      </c>
      <c r="J44" s="334"/>
      <c r="K44" s="335"/>
      <c r="L44" s="336"/>
      <c r="M44" s="166" t="s">
        <v>544</v>
      </c>
      <c r="U44" s="165"/>
    </row>
    <row r="45" spans="2:21" ht="23" customHeight="1" thickBot="1" x14ac:dyDescent="0.25">
      <c r="B45" s="101"/>
      <c r="C45" s="158"/>
      <c r="D45" s="158"/>
      <c r="E45" s="158"/>
      <c r="F45" s="158"/>
      <c r="G45" s="158"/>
      <c r="H45" s="158"/>
      <c r="I45" s="164"/>
      <c r="J45" s="163"/>
      <c r="K45" s="162"/>
      <c r="L45" s="161"/>
      <c r="M45" s="160" t="s">
        <v>543</v>
      </c>
      <c r="N45" s="160">
        <v>2020</v>
      </c>
      <c r="O45" s="160">
        <v>2025</v>
      </c>
      <c r="P45" s="160">
        <v>2030</v>
      </c>
      <c r="Q45" s="160">
        <v>2035</v>
      </c>
      <c r="R45" s="160">
        <v>2040</v>
      </c>
      <c r="S45" s="160">
        <v>2045</v>
      </c>
      <c r="T45" s="160">
        <v>2050</v>
      </c>
      <c r="U45" s="159" t="s">
        <v>542</v>
      </c>
    </row>
    <row r="46" spans="2:21" ht="17" thickTop="1" x14ac:dyDescent="0.2">
      <c r="B46" s="99">
        <v>2020</v>
      </c>
      <c r="C46" s="158">
        <f t="shared" ref="C46:C52" si="20">C33*$J$8</f>
        <v>675.19767987304874</v>
      </c>
      <c r="D46" s="157">
        <f t="shared" ref="D46:D52" si="21">D33*$J$9</f>
        <v>29.583638165374122</v>
      </c>
      <c r="E46" s="157">
        <f t="shared" ref="E46:E52" si="22">E33*$J$4</f>
        <v>0.40320966623483501</v>
      </c>
      <c r="F46" s="157">
        <f t="shared" ref="F46:F52" si="23">F33*$J$7</f>
        <v>0.38587637707142747</v>
      </c>
      <c r="G46" s="157">
        <f t="shared" ref="G46:G52" si="24">G33*$J$5</f>
        <v>2.6559314177812454</v>
      </c>
      <c r="H46" s="157">
        <f t="shared" ref="H46:H52" si="25">H33*109</f>
        <v>3.4529211290456816</v>
      </c>
      <c r="I46" s="156">
        <f t="shared" ref="I46:I52" si="26">I33*$J$10</f>
        <v>0.59700770695721961</v>
      </c>
      <c r="J46" s="155">
        <f t="shared" ref="J46:J52" si="27">SUM(C46:I46)</f>
        <v>712.27626433551336</v>
      </c>
      <c r="K46" s="155">
        <f>$J$8-J46</f>
        <v>288.72373566448664</v>
      </c>
      <c r="L46" s="155">
        <f t="shared" ref="L46:L52" si="28">K46/1011</f>
        <v>0.28558233003411143</v>
      </c>
      <c r="M46" s="150" t="s">
        <v>541</v>
      </c>
      <c r="N46" s="150">
        <v>7.5367036544709496</v>
      </c>
      <c r="O46" s="150">
        <v>7.5547769197427908</v>
      </c>
      <c r="P46" s="150">
        <v>2.5812919684915601</v>
      </c>
      <c r="Q46" s="150">
        <v>0.39251861739166699</v>
      </c>
      <c r="R46" s="150">
        <v>5.1431250000000303E-2</v>
      </c>
      <c r="S46" s="150">
        <v>5.1431249999999699E-2</v>
      </c>
      <c r="T46" s="150">
        <v>5.1431249999999699E-2</v>
      </c>
      <c r="U46" s="149">
        <v>-15.31596921592647</v>
      </c>
    </row>
    <row r="47" spans="2:21" x14ac:dyDescent="0.2">
      <c r="B47" s="99">
        <v>2025</v>
      </c>
      <c r="C47" s="158">
        <f t="shared" si="20"/>
        <v>481.38490373239864</v>
      </c>
      <c r="D47" s="157">
        <f t="shared" si="21"/>
        <v>17.452078943248669</v>
      </c>
      <c r="E47" s="157">
        <f t="shared" si="22"/>
        <v>0.42549188311945674</v>
      </c>
      <c r="F47" s="157">
        <f t="shared" si="23"/>
        <v>0.4563377024311443</v>
      </c>
      <c r="G47" s="157">
        <f t="shared" si="24"/>
        <v>6.7922853393513796</v>
      </c>
      <c r="H47" s="157">
        <f t="shared" si="25"/>
        <v>12.223472978519915</v>
      </c>
      <c r="I47" s="156">
        <f t="shared" si="26"/>
        <v>0.62999688385138619</v>
      </c>
      <c r="J47" s="155">
        <f t="shared" si="27"/>
        <v>519.3645674629206</v>
      </c>
      <c r="K47" s="155">
        <f t="shared" ref="K47:K52" si="29">$J$8-J47</f>
        <v>481.6354325370794</v>
      </c>
      <c r="L47" s="155">
        <f t="shared" si="28"/>
        <v>0.47639508658464824</v>
      </c>
      <c r="M47" s="150" t="s">
        <v>540</v>
      </c>
      <c r="N47" s="150">
        <v>90.258693062642607</v>
      </c>
      <c r="O47" s="150">
        <v>72.684516819029298</v>
      </c>
      <c r="P47" s="150">
        <v>72.684516819029298</v>
      </c>
      <c r="Q47" s="150">
        <v>60.8244656659881</v>
      </c>
      <c r="R47" s="150">
        <v>51.132013315052014</v>
      </c>
      <c r="S47" s="150">
        <v>43.398325807867792</v>
      </c>
      <c r="T47" s="150">
        <v>43.398325807867792</v>
      </c>
      <c r="U47" s="149">
        <v>-2.4113153255825752</v>
      </c>
    </row>
    <row r="48" spans="2:21" x14ac:dyDescent="0.2">
      <c r="B48" s="99">
        <v>2030</v>
      </c>
      <c r="C48" s="158">
        <f t="shared" si="20"/>
        <v>349.65126297247809</v>
      </c>
      <c r="D48" s="157">
        <f t="shared" si="21"/>
        <v>13.409829401032244</v>
      </c>
      <c r="E48" s="157">
        <f t="shared" si="22"/>
        <v>0.43640581988989624</v>
      </c>
      <c r="F48" s="157">
        <f t="shared" si="23"/>
        <v>0.45022644726254357</v>
      </c>
      <c r="G48" s="157">
        <f t="shared" si="24"/>
        <v>5.1782209163341291</v>
      </c>
      <c r="H48" s="157">
        <f t="shared" si="25"/>
        <v>32.996693596739966</v>
      </c>
      <c r="I48" s="156">
        <f t="shared" si="26"/>
        <v>0.5688458641072307</v>
      </c>
      <c r="J48" s="155">
        <f t="shared" si="27"/>
        <v>402.69148501784412</v>
      </c>
      <c r="K48" s="155">
        <f t="shared" si="29"/>
        <v>598.30851498215588</v>
      </c>
      <c r="L48" s="155">
        <f t="shared" si="28"/>
        <v>0.59179872896355679</v>
      </c>
      <c r="M48" s="150" t="s">
        <v>446</v>
      </c>
      <c r="N48" s="150">
        <v>965.17744665817997</v>
      </c>
      <c r="O48" s="150">
        <v>939.34682287415501</v>
      </c>
      <c r="P48" s="150">
        <v>887.95819856220896</v>
      </c>
      <c r="Q48" s="150">
        <v>1049.4405821705</v>
      </c>
      <c r="R48" s="150">
        <v>1209.8301247265399</v>
      </c>
      <c r="S48" s="150">
        <v>1357.3542660737801</v>
      </c>
      <c r="T48" s="150">
        <v>1217.25547321465</v>
      </c>
      <c r="U48" s="149">
        <v>0.77647244769636359</v>
      </c>
    </row>
    <row r="49" spans="2:21" x14ac:dyDescent="0.2">
      <c r="B49" s="99">
        <v>2035</v>
      </c>
      <c r="C49" s="158">
        <f t="shared" si="20"/>
        <v>326.69611453720506</v>
      </c>
      <c r="D49" s="157">
        <f t="shared" si="21"/>
        <v>8.8716251315372183</v>
      </c>
      <c r="E49" s="157">
        <f t="shared" si="22"/>
        <v>0.37991694474490578</v>
      </c>
      <c r="F49" s="157">
        <f t="shared" si="23"/>
        <v>0.3672518572553492</v>
      </c>
      <c r="G49" s="157">
        <f t="shared" si="24"/>
        <v>11.107177613436928</v>
      </c>
      <c r="H49" s="157">
        <f t="shared" si="25"/>
        <v>20.808565270647769</v>
      </c>
      <c r="I49" s="156">
        <f t="shared" si="26"/>
        <v>0.55627625592133423</v>
      </c>
      <c r="J49" s="155">
        <f t="shared" si="27"/>
        <v>368.78692761074848</v>
      </c>
      <c r="K49" s="155">
        <f t="shared" si="29"/>
        <v>632.21307238925147</v>
      </c>
      <c r="L49" s="155">
        <f t="shared" si="28"/>
        <v>0.6253343940546503</v>
      </c>
      <c r="M49" s="150" t="s">
        <v>454</v>
      </c>
      <c r="N49" s="150">
        <v>36.059628962458497</v>
      </c>
      <c r="O49" s="150">
        <v>51.944417283541412</v>
      </c>
      <c r="P49" s="150">
        <v>69.336521284727198</v>
      </c>
      <c r="Q49" s="150">
        <v>76.3513365652055</v>
      </c>
      <c r="R49" s="150">
        <v>106.439676487257</v>
      </c>
      <c r="S49" s="150">
        <v>127.65804336870301</v>
      </c>
      <c r="T49" s="150">
        <v>150.84751537028399</v>
      </c>
      <c r="U49" s="149">
        <v>4.8859292518399933</v>
      </c>
    </row>
    <row r="50" spans="2:21" x14ac:dyDescent="0.2">
      <c r="B50" s="99">
        <v>2040</v>
      </c>
      <c r="C50" s="158">
        <f t="shared" si="20"/>
        <v>287.29672790968556</v>
      </c>
      <c r="D50" s="157">
        <f t="shared" si="21"/>
        <v>5.6890263341049634</v>
      </c>
      <c r="E50" s="157">
        <f t="shared" si="22"/>
        <v>0.40401336919801389</v>
      </c>
      <c r="F50" s="157">
        <f t="shared" si="23"/>
        <v>0.28490160612931537</v>
      </c>
      <c r="G50" s="157">
        <f t="shared" si="24"/>
        <v>10.16416901681786</v>
      </c>
      <c r="H50" s="157">
        <f t="shared" si="25"/>
        <v>31.654126366661337</v>
      </c>
      <c r="I50" s="156">
        <f t="shared" si="26"/>
        <v>0.42433679667710122</v>
      </c>
      <c r="J50" s="155">
        <f t="shared" si="27"/>
        <v>335.91730139927415</v>
      </c>
      <c r="K50" s="155">
        <f t="shared" si="29"/>
        <v>665.08269860072585</v>
      </c>
      <c r="L50" s="155">
        <f t="shared" si="28"/>
        <v>0.65784638832910569</v>
      </c>
      <c r="M50" s="150" t="s">
        <v>539</v>
      </c>
      <c r="N50" s="150">
        <v>331.8708807165612</v>
      </c>
      <c r="O50" s="150">
        <v>881.76331143718824</v>
      </c>
      <c r="P50" s="150">
        <v>1509.5328394959879</v>
      </c>
      <c r="Q50" s="150">
        <v>2028.4870150783349</v>
      </c>
      <c r="R50" s="150">
        <v>2565.3680531238201</v>
      </c>
      <c r="S50" s="150">
        <v>3278.6672913909961</v>
      </c>
      <c r="T50" s="150">
        <v>4325.4648727041076</v>
      </c>
      <c r="U50" s="149">
        <v>8.9353387017235164</v>
      </c>
    </row>
    <row r="51" spans="2:21" x14ac:dyDescent="0.2">
      <c r="B51" s="99">
        <v>2045</v>
      </c>
      <c r="C51" s="158">
        <f t="shared" si="20"/>
        <v>282.64511295278612</v>
      </c>
      <c r="D51" s="157">
        <f t="shared" si="21"/>
        <v>4.2340892637884462</v>
      </c>
      <c r="E51" s="157">
        <f t="shared" si="22"/>
        <v>0.42489572088303568</v>
      </c>
      <c r="F51" s="157">
        <f t="shared" si="23"/>
        <v>0.2539958236163033</v>
      </c>
      <c r="G51" s="157">
        <f t="shared" si="24"/>
        <v>12.33711638218028</v>
      </c>
      <c r="H51" s="157">
        <f t="shared" si="25"/>
        <v>25.493866664787504</v>
      </c>
      <c r="I51" s="156">
        <f t="shared" si="26"/>
        <v>0.57918020348198751</v>
      </c>
      <c r="J51" s="155">
        <f t="shared" si="27"/>
        <v>325.96825701152375</v>
      </c>
      <c r="K51" s="155">
        <f t="shared" si="29"/>
        <v>675.03174298847625</v>
      </c>
      <c r="L51" s="155">
        <f t="shared" si="28"/>
        <v>0.66768718396486282</v>
      </c>
      <c r="M51" s="150" t="s">
        <v>538</v>
      </c>
      <c r="N51" s="150">
        <v>138.037950453989</v>
      </c>
      <c r="O51" s="150">
        <v>222.84040638811399</v>
      </c>
      <c r="P51" s="150">
        <v>286.12941643576102</v>
      </c>
      <c r="Q51" s="150">
        <v>295.224211979568</v>
      </c>
      <c r="R51" s="150">
        <v>300.23595355075003</v>
      </c>
      <c r="S51" s="150">
        <v>305.24769512193097</v>
      </c>
      <c r="T51" s="150">
        <v>310.259436693113</v>
      </c>
      <c r="U51" s="149">
        <v>2.7363699786511431</v>
      </c>
    </row>
    <row r="52" spans="2:21" x14ac:dyDescent="0.2">
      <c r="B52" s="98">
        <v>2050</v>
      </c>
      <c r="C52" s="158">
        <f t="shared" si="20"/>
        <v>167.7075098250435</v>
      </c>
      <c r="D52" s="157">
        <f t="shared" si="21"/>
        <v>2.8014476777632726</v>
      </c>
      <c r="E52" s="157">
        <f t="shared" si="22"/>
        <v>0.33219633819183741</v>
      </c>
      <c r="F52" s="157">
        <f t="shared" si="23"/>
        <v>0.17081330193924077</v>
      </c>
      <c r="G52" s="157">
        <f t="shared" si="24"/>
        <v>12.890154431698488</v>
      </c>
      <c r="H52" s="157">
        <f t="shared" si="25"/>
        <v>40.143623801575295</v>
      </c>
      <c r="I52" s="156">
        <f t="shared" si="26"/>
        <v>0.47593699733512618</v>
      </c>
      <c r="J52" s="155">
        <f t="shared" si="27"/>
        <v>224.52168237354675</v>
      </c>
      <c r="K52" s="155">
        <f t="shared" si="29"/>
        <v>776.47831762645319</v>
      </c>
      <c r="L52" s="155">
        <f t="shared" si="28"/>
        <v>0.76802998776108133</v>
      </c>
      <c r="M52" s="150" t="s">
        <v>537</v>
      </c>
      <c r="N52" s="150">
        <v>108.58231917672801</v>
      </c>
      <c r="O52" s="150">
        <v>219.046188417846</v>
      </c>
      <c r="P52" s="150">
        <v>376.10060143221</v>
      </c>
      <c r="Q52" s="150">
        <v>613.85189623148301</v>
      </c>
      <c r="R52" s="150">
        <v>918.34722921123318</v>
      </c>
      <c r="S52" s="150">
        <v>1124.33316413273</v>
      </c>
      <c r="T52" s="150">
        <v>1147.35282659466</v>
      </c>
      <c r="U52" s="149">
        <v>8.1760856747413513</v>
      </c>
    </row>
    <row r="53" spans="2:21" x14ac:dyDescent="0.2">
      <c r="B53" s="154"/>
      <c r="C53" s="153"/>
      <c r="D53" s="153"/>
      <c r="E53" s="153"/>
      <c r="F53" s="153"/>
      <c r="G53" s="153"/>
      <c r="H53" s="153"/>
      <c r="I53" s="152"/>
      <c r="J53" s="151"/>
      <c r="K53" s="151"/>
      <c r="L53" s="151"/>
      <c r="M53" s="150" t="s">
        <v>536</v>
      </c>
      <c r="N53" s="150">
        <v>0</v>
      </c>
      <c r="O53" s="150">
        <v>5.3460070614358996E-3</v>
      </c>
      <c r="P53" s="150">
        <v>7.3831119630665002E-3</v>
      </c>
      <c r="Q53" s="150">
        <v>7.3831119630665002E-3</v>
      </c>
      <c r="R53" s="150">
        <v>7.3831119630665002E-3</v>
      </c>
      <c r="S53" s="150">
        <v>7.3831119630665002E-3</v>
      </c>
      <c r="T53" s="150">
        <v>7.3831119630665002E-3</v>
      </c>
      <c r="U53" s="149" t="s">
        <v>16</v>
      </c>
    </row>
    <row r="54" spans="2:21" x14ac:dyDescent="0.2">
      <c r="M54" s="150" t="s">
        <v>535</v>
      </c>
      <c r="N54" s="150">
        <v>45.328407535628898</v>
      </c>
      <c r="O54" s="150">
        <v>379.066547117288</v>
      </c>
      <c r="P54" s="150">
        <v>769.54748589454107</v>
      </c>
      <c r="Q54" s="150">
        <v>1020.4309793597</v>
      </c>
      <c r="R54" s="150">
        <v>1224.1415125834901</v>
      </c>
      <c r="S54" s="150">
        <v>1694.46041007146</v>
      </c>
      <c r="T54" s="150">
        <v>2675.7983348483699</v>
      </c>
      <c r="U54" s="149">
        <v>14.560815697405589</v>
      </c>
    </row>
    <row r="55" spans="2:21" x14ac:dyDescent="0.2">
      <c r="M55" s="150" t="s">
        <v>534</v>
      </c>
      <c r="N55" s="150">
        <v>39.922203550215293</v>
      </c>
      <c r="O55" s="150">
        <v>60.80482350687884</v>
      </c>
      <c r="P55" s="150">
        <v>77.747952621513377</v>
      </c>
      <c r="Q55" s="150">
        <v>98.972544395621185</v>
      </c>
      <c r="R55" s="150">
        <v>122.6359746663837</v>
      </c>
      <c r="S55" s="150">
        <v>154.61863895291171</v>
      </c>
      <c r="T55" s="150">
        <v>192.0468914560023</v>
      </c>
      <c r="U55" s="149">
        <v>5.3755269095152158</v>
      </c>
    </row>
    <row r="56" spans="2:21" ht="20" thickBot="1" x14ac:dyDescent="0.25">
      <c r="B56" s="330"/>
      <c r="C56" s="330"/>
      <c r="D56" s="330"/>
      <c r="E56" s="330"/>
      <c r="F56" s="330"/>
      <c r="G56" s="330"/>
      <c r="H56" s="330"/>
      <c r="I56" s="330"/>
      <c r="M56" s="150" t="s">
        <v>533</v>
      </c>
      <c r="N56" s="150">
        <v>1430.9033530543129</v>
      </c>
      <c r="O56" s="150">
        <v>1953.293845333656</v>
      </c>
      <c r="P56" s="150">
        <v>2542.0933681304459</v>
      </c>
      <c r="Q56" s="150">
        <v>3215.4959180974211</v>
      </c>
      <c r="R56" s="150">
        <v>3932.8212989026688</v>
      </c>
      <c r="S56" s="150">
        <v>4807.1293578913474</v>
      </c>
      <c r="T56" s="150">
        <v>5737.0176183469102</v>
      </c>
      <c r="U56" s="149">
        <v>4.7375786154135069</v>
      </c>
    </row>
    <row r="57" spans="2:21" ht="17" customHeight="1" thickBot="1" x14ac:dyDescent="0.25">
      <c r="B57" s="147"/>
      <c r="C57" s="147"/>
      <c r="D57" s="147"/>
      <c r="E57" s="147"/>
      <c r="F57" s="147"/>
      <c r="G57" s="147"/>
      <c r="H57" s="147"/>
      <c r="I57" s="147"/>
      <c r="M57" s="146" t="s">
        <v>532</v>
      </c>
      <c r="N57" s="146"/>
      <c r="O57" s="146"/>
      <c r="P57" s="146"/>
      <c r="Q57" s="146"/>
      <c r="R57" s="146"/>
      <c r="S57" s="146"/>
      <c r="T57" s="146"/>
      <c r="U57" s="146"/>
    </row>
    <row r="58" spans="2:21" ht="17" thickBot="1" x14ac:dyDescent="0.25">
      <c r="B58" s="143"/>
      <c r="C58" s="145"/>
      <c r="D58" s="145"/>
      <c r="E58" s="145"/>
      <c r="F58" s="145"/>
      <c r="G58" s="145"/>
      <c r="H58" s="145"/>
      <c r="I58" s="145"/>
      <c r="J58" s="3"/>
      <c r="K58" s="3"/>
      <c r="M58" s="146"/>
      <c r="N58" s="146"/>
      <c r="O58" s="146"/>
      <c r="P58" s="146"/>
      <c r="Q58" s="146"/>
      <c r="R58" s="146"/>
      <c r="S58" s="146"/>
      <c r="T58" s="146"/>
      <c r="U58" s="146"/>
    </row>
    <row r="59" spans="2:21" ht="17" thickBot="1" x14ac:dyDescent="0.25">
      <c r="B59" s="143"/>
      <c r="C59" s="145"/>
      <c r="D59" s="145"/>
      <c r="E59" s="145"/>
      <c r="F59" s="145"/>
      <c r="G59" s="145"/>
      <c r="H59" s="145"/>
      <c r="I59" s="145"/>
      <c r="J59" s="3"/>
      <c r="K59" s="3"/>
      <c r="M59" s="146"/>
      <c r="N59" s="146"/>
      <c r="O59" s="146"/>
      <c r="P59" s="146"/>
      <c r="Q59" s="146"/>
      <c r="R59" s="146"/>
      <c r="S59" s="146"/>
      <c r="T59" s="146"/>
      <c r="U59" s="146"/>
    </row>
    <row r="60" spans="2:21" ht="17" thickBot="1" x14ac:dyDescent="0.25">
      <c r="B60" s="143"/>
      <c r="C60" s="145"/>
      <c r="D60" s="145"/>
      <c r="E60" s="145"/>
      <c r="F60" s="145"/>
      <c r="G60" s="145"/>
      <c r="H60" s="145"/>
      <c r="I60" s="145"/>
      <c r="J60" s="3"/>
      <c r="K60" s="3"/>
      <c r="M60" s="146"/>
      <c r="N60" s="146"/>
      <c r="O60" s="146"/>
      <c r="P60" s="146"/>
      <c r="Q60" s="146"/>
      <c r="R60" s="146"/>
      <c r="S60" s="146"/>
      <c r="T60" s="146"/>
      <c r="U60" s="146"/>
    </row>
    <row r="61" spans="2:21" ht="17" thickBot="1" x14ac:dyDescent="0.25">
      <c r="B61" s="143"/>
      <c r="C61" s="145"/>
      <c r="D61" s="145"/>
      <c r="E61" s="145"/>
      <c r="F61" s="145"/>
      <c r="G61" s="145"/>
      <c r="H61" s="145"/>
      <c r="I61" s="145"/>
      <c r="J61" s="3"/>
      <c r="K61" s="3"/>
      <c r="M61" s="146"/>
      <c r="N61" s="146"/>
      <c r="O61" s="146"/>
      <c r="P61" s="146"/>
      <c r="Q61" s="146"/>
      <c r="R61" s="146"/>
      <c r="S61" s="146"/>
      <c r="T61" s="146"/>
      <c r="U61" s="146"/>
    </row>
    <row r="62" spans="2:21" ht="17" thickBot="1" x14ac:dyDescent="0.25">
      <c r="B62" s="143"/>
      <c r="C62" s="145"/>
      <c r="D62" s="145"/>
      <c r="E62" s="145"/>
      <c r="F62" s="145"/>
      <c r="G62" s="145"/>
      <c r="H62" s="145"/>
      <c r="I62" s="145"/>
      <c r="J62" s="3"/>
      <c r="K62" s="3"/>
      <c r="M62" s="146"/>
      <c r="N62" s="146"/>
      <c r="O62" s="146"/>
      <c r="P62" s="146"/>
      <c r="Q62" s="146"/>
      <c r="R62" s="146"/>
      <c r="S62" s="146"/>
      <c r="T62" s="146"/>
      <c r="U62" s="146"/>
    </row>
    <row r="63" spans="2:21" ht="17" thickBot="1" x14ac:dyDescent="0.25">
      <c r="B63" s="143"/>
      <c r="C63" s="143"/>
      <c r="D63" s="143"/>
      <c r="E63" s="143"/>
      <c r="F63" s="143"/>
      <c r="G63" s="143"/>
      <c r="H63" s="143"/>
      <c r="I63" s="143"/>
      <c r="M63" s="146"/>
      <c r="N63" s="146"/>
      <c r="O63" s="146"/>
      <c r="P63" s="146"/>
      <c r="Q63" s="146"/>
      <c r="R63" s="146"/>
      <c r="S63" s="146"/>
      <c r="T63" s="146"/>
      <c r="U63" s="146"/>
    </row>
    <row r="64" spans="2:21" ht="17" thickBot="1" x14ac:dyDescent="0.25">
      <c r="M64" s="146"/>
      <c r="N64" s="146"/>
      <c r="O64" s="146"/>
      <c r="P64" s="146"/>
      <c r="Q64" s="146"/>
      <c r="R64" s="146"/>
      <c r="S64" s="146"/>
      <c r="T64" s="146"/>
      <c r="U64" s="146"/>
    </row>
    <row r="65" spans="2:21" ht="17" thickBot="1" x14ac:dyDescent="0.25">
      <c r="M65" s="146"/>
      <c r="N65" s="146"/>
      <c r="O65" s="146"/>
      <c r="P65" s="146"/>
      <c r="Q65" s="146"/>
      <c r="R65" s="146"/>
      <c r="S65" s="146"/>
      <c r="T65" s="146"/>
      <c r="U65" s="146"/>
    </row>
    <row r="66" spans="2:21" ht="20" thickBot="1" x14ac:dyDescent="0.25">
      <c r="B66" s="330"/>
      <c r="C66" s="330"/>
      <c r="D66" s="330"/>
      <c r="E66" s="330"/>
      <c r="F66" s="330"/>
      <c r="G66" s="330"/>
      <c r="H66" s="330"/>
      <c r="I66" s="330"/>
      <c r="J66" s="148"/>
      <c r="M66" s="146"/>
      <c r="N66" s="146"/>
      <c r="O66" s="146"/>
      <c r="P66" s="146"/>
      <c r="Q66" s="146"/>
      <c r="R66" s="146"/>
      <c r="S66" s="146"/>
      <c r="T66" s="146"/>
      <c r="U66" s="146"/>
    </row>
    <row r="67" spans="2:21" x14ac:dyDescent="0.2">
      <c r="B67" s="147"/>
      <c r="C67" s="147"/>
      <c r="D67" s="147"/>
      <c r="E67" s="147"/>
      <c r="F67" s="147"/>
      <c r="G67" s="147"/>
      <c r="H67" s="147"/>
      <c r="I67" s="147"/>
      <c r="J67" s="142"/>
      <c r="M67" s="146"/>
      <c r="N67" s="146"/>
      <c r="O67" s="146"/>
      <c r="P67" s="146"/>
      <c r="Q67" s="146"/>
      <c r="R67" s="146"/>
      <c r="S67" s="146"/>
      <c r="T67" s="146"/>
      <c r="U67" s="146"/>
    </row>
    <row r="68" spans="2:21" x14ac:dyDescent="0.2">
      <c r="B68" s="143"/>
      <c r="C68" s="145"/>
      <c r="D68" s="145"/>
      <c r="E68" s="145"/>
      <c r="F68" s="145"/>
      <c r="G68" s="145"/>
      <c r="H68" s="145"/>
      <c r="I68" s="145"/>
      <c r="J68" s="144"/>
    </row>
    <row r="69" spans="2:21" x14ac:dyDescent="0.2">
      <c r="B69" s="143"/>
      <c r="C69" s="145"/>
      <c r="D69" s="145"/>
      <c r="E69" s="145"/>
      <c r="F69" s="145"/>
      <c r="G69" s="145"/>
      <c r="H69" s="145"/>
      <c r="I69" s="145"/>
      <c r="J69" s="144"/>
    </row>
    <row r="70" spans="2:21" x14ac:dyDescent="0.2">
      <c r="B70" s="143"/>
      <c r="C70" s="145"/>
      <c r="D70" s="145"/>
      <c r="E70" s="145"/>
      <c r="F70" s="145"/>
      <c r="G70" s="145"/>
      <c r="H70" s="145"/>
      <c r="I70" s="145"/>
      <c r="J70" s="144"/>
    </row>
    <row r="71" spans="2:21" x14ac:dyDescent="0.2">
      <c r="B71" s="143"/>
      <c r="C71" s="145"/>
      <c r="D71" s="145"/>
      <c r="E71" s="145"/>
      <c r="F71" s="145"/>
      <c r="G71" s="145"/>
      <c r="H71" s="145"/>
      <c r="I71" s="145"/>
      <c r="J71" s="144"/>
    </row>
    <row r="72" spans="2:21" x14ac:dyDescent="0.2">
      <c r="B72" s="143"/>
      <c r="C72" s="145"/>
      <c r="D72" s="145"/>
      <c r="E72" s="145"/>
      <c r="F72" s="145"/>
      <c r="G72" s="145"/>
      <c r="H72" s="145"/>
      <c r="I72" s="145"/>
      <c r="J72" s="144"/>
    </row>
    <row r="73" spans="2:21" x14ac:dyDescent="0.2">
      <c r="B73" s="143"/>
      <c r="C73" s="143"/>
      <c r="D73" s="143"/>
      <c r="E73" s="143"/>
      <c r="F73" s="143"/>
      <c r="G73" s="143"/>
      <c r="H73" s="143"/>
      <c r="I73" s="143"/>
      <c r="J73" s="142"/>
    </row>
  </sheetData>
  <mergeCells count="14">
    <mergeCell ref="B2:I2"/>
    <mergeCell ref="L17:T17"/>
    <mergeCell ref="V17:AC17"/>
    <mergeCell ref="AE17:AL17"/>
    <mergeCell ref="AN17:AR17"/>
    <mergeCell ref="B17:I17"/>
    <mergeCell ref="B66:I66"/>
    <mergeCell ref="B30:I30"/>
    <mergeCell ref="B43:I43"/>
    <mergeCell ref="L27:T27"/>
    <mergeCell ref="B56:I56"/>
    <mergeCell ref="J43:J44"/>
    <mergeCell ref="K43:K44"/>
    <mergeCell ref="L43:L4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F44CF-2DDB-4270-9A15-9A6EDB37EA56}">
  <sheetPr>
    <tabColor theme="6"/>
  </sheetPr>
  <dimension ref="A1:U72"/>
  <sheetViews>
    <sheetView topLeftCell="B22" workbookViewId="0">
      <selection activeCell="J4" sqref="J4:J10"/>
    </sheetView>
  </sheetViews>
  <sheetFormatPr baseColWidth="10" defaultColWidth="11" defaultRowHeight="16" x14ac:dyDescent="0.2"/>
  <cols>
    <col min="3" max="3" width="15.1640625" customWidth="1"/>
    <col min="5" max="5" width="14" customWidth="1"/>
    <col min="9" max="9" width="10.83203125" customWidth="1"/>
    <col min="10" max="10" width="13.33203125" customWidth="1"/>
  </cols>
  <sheetData>
    <row r="1" spans="1:11" x14ac:dyDescent="0.2">
      <c r="A1" t="s">
        <v>562</v>
      </c>
    </row>
    <row r="2" spans="1:11" x14ac:dyDescent="0.2">
      <c r="B2" s="321" t="s">
        <v>461</v>
      </c>
      <c r="C2" s="321"/>
      <c r="D2" s="321"/>
      <c r="E2" s="321"/>
      <c r="F2" s="321"/>
      <c r="G2" s="321"/>
      <c r="H2" s="321"/>
      <c r="I2" s="321"/>
    </row>
    <row r="3" spans="1:11" ht="68" x14ac:dyDescent="0.2"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14" t="s">
        <v>527</v>
      </c>
      <c r="J3" s="39" t="s">
        <v>460</v>
      </c>
      <c r="K3" s="213"/>
    </row>
    <row r="4" spans="1:11" x14ac:dyDescent="0.2"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05">
        <f>Y19</f>
        <v>0</v>
      </c>
      <c r="I4" s="204">
        <f t="shared" ref="I4:I10" si="2">H4*J4</f>
        <v>0</v>
      </c>
      <c r="J4" s="85">
        <v>16</v>
      </c>
      <c r="K4" s="194"/>
    </row>
    <row r="5" spans="1:11" x14ac:dyDescent="0.2"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1.5151515000000001E-2</v>
      </c>
      <c r="G5" s="206"/>
      <c r="H5" s="205">
        <f>AA19</f>
        <v>0</v>
      </c>
      <c r="I5" s="204">
        <f t="shared" si="2"/>
        <v>0</v>
      </c>
      <c r="J5" s="85">
        <v>35</v>
      </c>
      <c r="K5" s="194"/>
    </row>
    <row r="6" spans="1:11" x14ac:dyDescent="0.2"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05">
        <f>AB19</f>
        <v>0</v>
      </c>
      <c r="I6" s="204">
        <f t="shared" si="2"/>
        <v>0</v>
      </c>
      <c r="J6" s="85">
        <v>12</v>
      </c>
      <c r="K6" s="194"/>
    </row>
    <row r="7" spans="1:11" x14ac:dyDescent="0.2"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0.24494949499999999</v>
      </c>
      <c r="G7" s="206"/>
      <c r="H7" s="205">
        <f>Z19</f>
        <v>0</v>
      </c>
      <c r="I7" s="204">
        <f t="shared" si="2"/>
        <v>0</v>
      </c>
      <c r="J7" s="85">
        <v>4</v>
      </c>
      <c r="K7" s="194"/>
    </row>
    <row r="8" spans="1:11" x14ac:dyDescent="0.2"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0.27525252500000003</v>
      </c>
      <c r="G8" s="206"/>
      <c r="H8" s="205">
        <f>W19</f>
        <v>0</v>
      </c>
      <c r="I8" s="204">
        <f t="shared" si="2"/>
        <v>0</v>
      </c>
      <c r="J8" s="85">
        <v>1001</v>
      </c>
      <c r="K8" s="194"/>
    </row>
    <row r="9" spans="1:11" x14ac:dyDescent="0.2"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0.196969697</v>
      </c>
      <c r="G9" s="206"/>
      <c r="H9" s="205">
        <f>X19</f>
        <v>0</v>
      </c>
      <c r="I9" s="204">
        <f t="shared" si="2"/>
        <v>0</v>
      </c>
      <c r="J9" s="85">
        <v>469</v>
      </c>
      <c r="K9" s="194"/>
    </row>
    <row r="10" spans="1:11" x14ac:dyDescent="0.2"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0.24747474699999999</v>
      </c>
      <c r="G10" s="206"/>
      <c r="H10" s="205">
        <f>AC19</f>
        <v>0</v>
      </c>
      <c r="I10" s="204">
        <f t="shared" si="2"/>
        <v>0</v>
      </c>
      <c r="J10" s="85">
        <v>18</v>
      </c>
      <c r="K10" s="194"/>
    </row>
    <row r="11" spans="1:11" x14ac:dyDescent="0.2">
      <c r="B11" s="209"/>
      <c r="C11" s="208"/>
      <c r="D11" s="206"/>
      <c r="E11" s="207"/>
      <c r="F11" s="206"/>
      <c r="G11" s="206"/>
      <c r="H11" s="211"/>
      <c r="I11" s="210"/>
      <c r="J11" s="194"/>
      <c r="K11" s="194"/>
    </row>
    <row r="12" spans="1:11" x14ac:dyDescent="0.2">
      <c r="B12" s="209"/>
      <c r="C12" s="208"/>
      <c r="D12" s="206"/>
      <c r="E12" s="207">
        <v>396000000</v>
      </c>
      <c r="F12" s="206">
        <v>1</v>
      </c>
      <c r="G12" s="206"/>
      <c r="H12" s="211"/>
      <c r="I12" s="204">
        <f>SUM(I4:I11)</f>
        <v>0</v>
      </c>
      <c r="J12" s="194">
        <f>SUM(J4:J11)</f>
        <v>1555</v>
      </c>
      <c r="K12" s="194"/>
    </row>
    <row r="13" spans="1:11" ht="51" x14ac:dyDescent="0.2">
      <c r="B13" s="203"/>
      <c r="C13" s="202"/>
      <c r="D13" s="201"/>
      <c r="E13" s="201"/>
      <c r="F13" s="201"/>
      <c r="G13" s="200" t="s">
        <v>440</v>
      </c>
      <c r="H13" s="199"/>
      <c r="I13" s="198">
        <f>I12/7</f>
        <v>0</v>
      </c>
      <c r="J13" s="197">
        <f>J12/7</f>
        <v>222.14285714285714</v>
      </c>
      <c r="K13" s="196"/>
    </row>
    <row r="14" spans="1:11" x14ac:dyDescent="0.2"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7" spans="2:21" ht="19" x14ac:dyDescent="0.2">
      <c r="B17" s="331" t="s">
        <v>560</v>
      </c>
      <c r="C17" s="332"/>
      <c r="D17" s="332"/>
      <c r="E17" s="332"/>
      <c r="F17" s="332"/>
      <c r="G17" s="332"/>
      <c r="H17" s="332"/>
      <c r="I17" s="333"/>
      <c r="J17" s="191"/>
      <c r="M17" s="166" t="s">
        <v>551</v>
      </c>
      <c r="U17" s="165"/>
    </row>
    <row r="18" spans="2:21" x14ac:dyDescent="0.2">
      <c r="B18" s="96" t="s">
        <v>270</v>
      </c>
      <c r="C18" s="168" t="s">
        <v>446</v>
      </c>
      <c r="D18" s="168" t="s">
        <v>444</v>
      </c>
      <c r="E18" s="168" t="s">
        <v>454</v>
      </c>
      <c r="F18" s="168" t="s">
        <v>521</v>
      </c>
      <c r="G18" s="168" t="s">
        <v>452</v>
      </c>
      <c r="H18" s="168" t="s">
        <v>450</v>
      </c>
      <c r="I18" s="167" t="s">
        <v>520</v>
      </c>
      <c r="J18" s="221" t="s">
        <v>463</v>
      </c>
      <c r="M18" s="166" t="s">
        <v>550</v>
      </c>
      <c r="U18" s="165"/>
    </row>
    <row r="19" spans="2:21" x14ac:dyDescent="0.2">
      <c r="B19" s="189"/>
      <c r="C19" s="188"/>
      <c r="D19" s="188"/>
      <c r="E19" s="188"/>
      <c r="F19" s="188"/>
      <c r="G19" s="188"/>
      <c r="H19" s="188"/>
      <c r="I19" s="187"/>
      <c r="J19" s="182"/>
      <c r="U19" s="165"/>
    </row>
    <row r="20" spans="2:21" x14ac:dyDescent="0.2">
      <c r="B20" s="99">
        <v>2020</v>
      </c>
      <c r="C20" s="184">
        <v>0.39694751138280598</v>
      </c>
      <c r="D20" s="184">
        <v>0.79610598516053621</v>
      </c>
      <c r="E20" s="184">
        <v>0.74072214024196725</v>
      </c>
      <c r="F20" s="184">
        <v>0.56759034658394603</v>
      </c>
      <c r="G20" s="184">
        <v>0.53102849305248401</v>
      </c>
      <c r="H20" s="184">
        <v>0.20112398544198301</v>
      </c>
      <c r="I20" s="183">
        <f>(N23+N30+N32)/1000</f>
        <v>0.13548386140508112</v>
      </c>
      <c r="J20" s="182">
        <f t="shared" ref="J20:J26" si="3">SUM(C20:I20)</f>
        <v>3.3690023232688038</v>
      </c>
      <c r="M20" s="169" t="s">
        <v>559</v>
      </c>
      <c r="U20" s="165"/>
    </row>
    <row r="21" spans="2:21" x14ac:dyDescent="0.2">
      <c r="B21" s="99">
        <v>2025</v>
      </c>
      <c r="C21" s="184">
        <f>O25/1000</f>
        <v>0.30061514524772703</v>
      </c>
      <c r="D21" s="184">
        <f>O24/1000</f>
        <v>0.76710482835084193</v>
      </c>
      <c r="E21" s="184">
        <f>O26/1000</f>
        <v>0.72751224069706644</v>
      </c>
      <c r="F21" s="184">
        <f>O28/1000</f>
        <v>0.63268355619977312</v>
      </c>
      <c r="G21" s="184">
        <f>O31/1000</f>
        <v>0.42471090102324899</v>
      </c>
      <c r="H21" s="184">
        <f>O29/1000</f>
        <v>0.67637346844939394</v>
      </c>
      <c r="I21" s="183">
        <f>(O23+O30+O32)/1000</f>
        <v>0.13931388544135742</v>
      </c>
      <c r="J21" s="182">
        <f t="shared" si="3"/>
        <v>3.6683140254094089</v>
      </c>
      <c r="M21" s="166" t="s">
        <v>544</v>
      </c>
      <c r="U21" s="165"/>
    </row>
    <row r="22" spans="2:21" ht="19" customHeight="1" thickBot="1" x14ac:dyDescent="0.25">
      <c r="B22" s="99">
        <v>2030</v>
      </c>
      <c r="C22" s="184">
        <v>0.209738048391964</v>
      </c>
      <c r="D22" s="184">
        <v>0.78114495882828572</v>
      </c>
      <c r="E22" s="184">
        <v>0.67436771150353969</v>
      </c>
      <c r="F22" s="184">
        <v>0.673983745736074</v>
      </c>
      <c r="G22" s="184">
        <v>0.8581451660128161</v>
      </c>
      <c r="H22" s="184">
        <f>P29/1000</f>
        <v>0.8581451660128161</v>
      </c>
      <c r="I22" s="183">
        <f>(P23+P30+P32)/1000</f>
        <v>0.12822692052652737</v>
      </c>
      <c r="J22" s="182">
        <f t="shared" si="3"/>
        <v>4.1837517170120231</v>
      </c>
      <c r="M22" s="160" t="s">
        <v>543</v>
      </c>
      <c r="N22" s="160">
        <v>2020</v>
      </c>
      <c r="O22" s="160">
        <v>2025</v>
      </c>
      <c r="P22" s="160">
        <v>2030</v>
      </c>
      <c r="Q22" s="160">
        <v>2035</v>
      </c>
      <c r="R22" s="160">
        <v>2040</v>
      </c>
      <c r="S22" s="160">
        <v>2045</v>
      </c>
      <c r="T22" s="160">
        <v>2050</v>
      </c>
      <c r="U22" s="159" t="s">
        <v>542</v>
      </c>
    </row>
    <row r="23" spans="2:21" ht="17" thickTop="1" x14ac:dyDescent="0.2">
      <c r="B23" s="99">
        <v>2035</v>
      </c>
      <c r="C23" s="184">
        <f>Q25/1000</f>
        <v>0.21058231223716201</v>
      </c>
      <c r="D23" s="184">
        <f>Q24/1000</f>
        <v>0.74452308243589893</v>
      </c>
      <c r="E23" s="184">
        <f>Q26/1000</f>
        <v>0.65761107609230052</v>
      </c>
      <c r="F23" s="184">
        <f>Q28/1000</f>
        <v>0.68987718031377299</v>
      </c>
      <c r="G23" s="184">
        <f>Q31/1000</f>
        <v>0.59597448181783608</v>
      </c>
      <c r="H23" s="184">
        <f>Q29/1000</f>
        <v>1.1570885117468199</v>
      </c>
      <c r="I23" s="183">
        <f>(Q23+Q30+Q32)/1000</f>
        <v>0.13894854852827609</v>
      </c>
      <c r="J23" s="182">
        <f t="shared" si="3"/>
        <v>4.1946051931720669</v>
      </c>
      <c r="M23" s="150" t="s">
        <v>541</v>
      </c>
      <c r="N23" s="150">
        <v>57.162348126540032</v>
      </c>
      <c r="O23" s="150">
        <v>57.163104189658071</v>
      </c>
      <c r="P23" s="150">
        <v>26.611872071500251</v>
      </c>
      <c r="Q23" s="150">
        <v>11.50942644326339</v>
      </c>
      <c r="R23" s="150">
        <v>6.9765037404634898</v>
      </c>
      <c r="S23" s="150">
        <v>6.4843543320310788</v>
      </c>
      <c r="T23" s="150">
        <v>6.4843543320310779</v>
      </c>
      <c r="U23" s="149">
        <v>-6.9980854126876153</v>
      </c>
    </row>
    <row r="24" spans="2:21" x14ac:dyDescent="0.2">
      <c r="B24" s="99">
        <v>2040</v>
      </c>
      <c r="C24" s="184">
        <v>0.23095767610648391</v>
      </c>
      <c r="D24" s="184">
        <v>0.69313333701013469</v>
      </c>
      <c r="E24" s="184">
        <v>0.60776423826293757</v>
      </c>
      <c r="F24" s="184">
        <v>0.70609854000455097</v>
      </c>
      <c r="G24" s="184">
        <v>1.4167109133678999</v>
      </c>
      <c r="H24" s="184">
        <f>R29/1000</f>
        <v>1.4167109133679001</v>
      </c>
      <c r="I24" s="183">
        <f>(R23+R30+R32)/1000</f>
        <v>0.15625459778546605</v>
      </c>
      <c r="J24" s="182">
        <f t="shared" si="3"/>
        <v>5.2276302159053731</v>
      </c>
      <c r="M24" s="150" t="s">
        <v>540</v>
      </c>
      <c r="N24" s="150">
        <v>796.10598516053597</v>
      </c>
      <c r="O24" s="150">
        <v>767.1048283508419</v>
      </c>
      <c r="P24" s="150">
        <v>781.14495882828578</v>
      </c>
      <c r="Q24" s="150">
        <v>744.52308243589891</v>
      </c>
      <c r="R24" s="150">
        <v>693.13333701013482</v>
      </c>
      <c r="S24" s="150">
        <v>697.13347852145591</v>
      </c>
      <c r="T24" s="150">
        <v>702.09949420692487</v>
      </c>
      <c r="U24" s="149">
        <v>-0.41798135128189312</v>
      </c>
    </row>
    <row r="25" spans="2:21" x14ac:dyDescent="0.2">
      <c r="B25" s="99">
        <v>2045</v>
      </c>
      <c r="C25" s="184">
        <f>S25/1000</f>
        <v>0.214375137751459</v>
      </c>
      <c r="D25" s="184">
        <f>S24/1000</f>
        <v>0.69713347852145591</v>
      </c>
      <c r="E25" s="184">
        <f>S26/1000</f>
        <v>0.45868060571355668</v>
      </c>
      <c r="F25" s="184">
        <f>S28/1000</f>
        <v>0.72010431716433809</v>
      </c>
      <c r="G25" s="184">
        <f>S31/1000</f>
        <v>0.6887707603469071</v>
      </c>
      <c r="H25" s="184">
        <f>S29/1000</f>
        <v>1.77375257579379</v>
      </c>
      <c r="I25" s="183">
        <f>(S23+S30+S32)/1000</f>
        <v>0.16641709295623769</v>
      </c>
      <c r="J25" s="182">
        <f t="shared" si="3"/>
        <v>4.7192339682477442</v>
      </c>
      <c r="M25" s="150" t="s">
        <v>446</v>
      </c>
      <c r="N25" s="150">
        <v>396.947511382806</v>
      </c>
      <c r="O25" s="150">
        <v>300.61514524772701</v>
      </c>
      <c r="P25" s="150">
        <v>209.73804839196401</v>
      </c>
      <c r="Q25" s="150">
        <v>210.582312237162</v>
      </c>
      <c r="R25" s="150">
        <v>230.95767610648389</v>
      </c>
      <c r="S25" s="150">
        <v>214.37513775145899</v>
      </c>
      <c r="T25" s="150">
        <v>217.21265728364401</v>
      </c>
      <c r="U25" s="149">
        <v>-1.9896963202692191</v>
      </c>
    </row>
    <row r="26" spans="2:21" x14ac:dyDescent="0.2">
      <c r="B26" s="98">
        <v>2050</v>
      </c>
      <c r="C26" s="180">
        <v>0.217212657283644</v>
      </c>
      <c r="D26" s="180">
        <v>0.70209949420692486</v>
      </c>
      <c r="E26" s="180">
        <v>0.36326032393701979</v>
      </c>
      <c r="F26" s="180">
        <v>0.7428905676746741</v>
      </c>
      <c r="G26" s="180">
        <v>1.9754290055869499</v>
      </c>
      <c r="H26" s="180">
        <f>T29/1000</f>
        <v>1.9754290055869501</v>
      </c>
      <c r="I26" s="183">
        <f>(T23+T30+T32)/1000</f>
        <v>0.17731576956025111</v>
      </c>
      <c r="J26" s="178">
        <f t="shared" si="3"/>
        <v>6.1536368238364139</v>
      </c>
      <c r="M26" s="150" t="s">
        <v>454</v>
      </c>
      <c r="N26" s="150">
        <v>740.7221402419674</v>
      </c>
      <c r="O26" s="150">
        <v>727.51224069706643</v>
      </c>
      <c r="P26" s="150">
        <v>674.36771150353957</v>
      </c>
      <c r="Q26" s="150">
        <v>657.61107609230055</v>
      </c>
      <c r="R26" s="150">
        <v>607.76423826293751</v>
      </c>
      <c r="S26" s="150">
        <v>458.6806057135567</v>
      </c>
      <c r="T26" s="150">
        <v>363.26032393701979</v>
      </c>
      <c r="U26" s="149">
        <v>-2.347037880695757</v>
      </c>
    </row>
    <row r="27" spans="2:21" x14ac:dyDescent="0.2">
      <c r="M27" s="150" t="s">
        <v>539</v>
      </c>
      <c r="N27" s="150">
        <v>1378.0643383569541</v>
      </c>
      <c r="O27" s="150">
        <v>1815.918706924115</v>
      </c>
      <c r="P27" s="150">
        <v>2184.9928398099159</v>
      </c>
      <c r="Q27" s="150">
        <v>2570.379295963442</v>
      </c>
      <c r="R27" s="150">
        <v>2895.7761046360538</v>
      </c>
      <c r="S27" s="150">
        <v>3342.5603919292421</v>
      </c>
      <c r="T27" s="150">
        <v>3725.0419233906132</v>
      </c>
      <c r="U27" s="149">
        <v>3.3702077306143612</v>
      </c>
    </row>
    <row r="28" spans="2:21" x14ac:dyDescent="0.2">
      <c r="M28" s="150" t="s">
        <v>538</v>
      </c>
      <c r="N28" s="150">
        <v>567.59034658394603</v>
      </c>
      <c r="O28" s="150">
        <v>632.68355619977308</v>
      </c>
      <c r="P28" s="150">
        <v>673.98374573607396</v>
      </c>
      <c r="Q28" s="150">
        <v>689.87718031377301</v>
      </c>
      <c r="R28" s="150">
        <v>706.09854000455096</v>
      </c>
      <c r="S28" s="150">
        <v>720.10431716433811</v>
      </c>
      <c r="T28" s="150">
        <v>742.89056767467412</v>
      </c>
      <c r="U28" s="149">
        <v>0.9011992728817475</v>
      </c>
    </row>
    <row r="29" spans="2:21" ht="19" x14ac:dyDescent="0.2">
      <c r="B29" s="331" t="s">
        <v>558</v>
      </c>
      <c r="C29" s="332"/>
      <c r="D29" s="332"/>
      <c r="E29" s="332"/>
      <c r="F29" s="332"/>
      <c r="G29" s="332"/>
      <c r="H29" s="332"/>
      <c r="I29" s="333"/>
      <c r="M29" s="150" t="s">
        <v>537</v>
      </c>
      <c r="N29" s="150">
        <v>531.02849305248401</v>
      </c>
      <c r="O29" s="150">
        <v>676.37346844939395</v>
      </c>
      <c r="P29" s="150">
        <v>858.14516601281605</v>
      </c>
      <c r="Q29" s="150">
        <v>1157.0885117468199</v>
      </c>
      <c r="R29" s="150">
        <v>1416.7109133679</v>
      </c>
      <c r="S29" s="150">
        <v>1773.7525757937899</v>
      </c>
      <c r="T29" s="150">
        <v>1975.4290055869501</v>
      </c>
      <c r="U29" s="149">
        <v>4.4763808982237308</v>
      </c>
    </row>
    <row r="30" spans="2:21" x14ac:dyDescent="0.2">
      <c r="B30" s="96" t="s">
        <v>270</v>
      </c>
      <c r="C30" s="168" t="s">
        <v>446</v>
      </c>
      <c r="D30" s="168" t="s">
        <v>444</v>
      </c>
      <c r="E30" s="168" t="s">
        <v>454</v>
      </c>
      <c r="F30" s="168" t="s">
        <v>521</v>
      </c>
      <c r="G30" s="168" t="s">
        <v>452</v>
      </c>
      <c r="H30" s="168" t="s">
        <v>450</v>
      </c>
      <c r="I30" s="167" t="s">
        <v>520</v>
      </c>
      <c r="J30" s="28"/>
      <c r="M30" s="150" t="s">
        <v>536</v>
      </c>
      <c r="N30" s="150">
        <v>20.71416589789802</v>
      </c>
      <c r="O30" s="150">
        <v>23.88304622221462</v>
      </c>
      <c r="P30" s="150">
        <v>35.964887383387222</v>
      </c>
      <c r="Q30" s="150">
        <v>39.353473265382327</v>
      </c>
      <c r="R30" s="150">
        <v>40.078843563628133</v>
      </c>
      <c r="S30" s="150">
        <v>40.078843563628133</v>
      </c>
      <c r="T30" s="150">
        <v>40.078843563628133</v>
      </c>
      <c r="U30" s="149">
        <v>2.2244833771793542</v>
      </c>
    </row>
    <row r="31" spans="2:21" x14ac:dyDescent="0.2">
      <c r="B31" s="101"/>
      <c r="C31" s="175"/>
      <c r="D31" s="175"/>
      <c r="E31" s="175"/>
      <c r="F31" s="175"/>
      <c r="G31" s="175"/>
      <c r="H31" s="175"/>
      <c r="I31" s="174"/>
      <c r="J31" s="21"/>
      <c r="M31" s="150" t="s">
        <v>535</v>
      </c>
      <c r="N31" s="150">
        <v>201.123985441983</v>
      </c>
      <c r="O31" s="150">
        <v>424.71090102324899</v>
      </c>
      <c r="P31" s="150">
        <v>551.24887960599904</v>
      </c>
      <c r="Q31" s="150">
        <v>595.97448181783602</v>
      </c>
      <c r="R31" s="150">
        <v>623.68855721859995</v>
      </c>
      <c r="S31" s="150">
        <v>688.77076034690708</v>
      </c>
      <c r="T31" s="150">
        <v>835.89093490076903</v>
      </c>
      <c r="U31" s="149">
        <v>4.8631400739664432</v>
      </c>
    </row>
    <row r="32" spans="2:21" x14ac:dyDescent="0.2">
      <c r="B32" s="99">
        <v>2020</v>
      </c>
      <c r="C32" s="171">
        <f t="shared" ref="C32:C38" si="4">C20/J20</f>
        <v>0.11782346026928951</v>
      </c>
      <c r="D32" s="171">
        <f t="shared" ref="D32:D38" si="5">D20/J20</f>
        <v>0.23630318675117667</v>
      </c>
      <c r="E32" s="171">
        <f t="shared" ref="E32:E38" si="6">E20/J20</f>
        <v>0.21986394462419817</v>
      </c>
      <c r="F32" s="171">
        <f t="shared" ref="F32:F38" si="7">F20/J20</f>
        <v>0.16847431141965985</v>
      </c>
      <c r="G32" s="171">
        <f t="shared" ref="G32:G38" si="8">G20/J20</f>
        <v>0.15762188389862819</v>
      </c>
      <c r="H32" s="171">
        <f t="shared" ref="H32:H38" si="9">H20/J20</f>
        <v>5.9698381343602253E-2</v>
      </c>
      <c r="I32" s="170">
        <f t="shared" ref="I32:I38" si="10">I20/J20</f>
        <v>4.0214831693445294E-2</v>
      </c>
      <c r="J32" s="21"/>
      <c r="M32" s="150" t="s">
        <v>534</v>
      </c>
      <c r="N32" s="150">
        <v>57.60734738064307</v>
      </c>
      <c r="O32" s="150">
        <v>58.267735029484733</v>
      </c>
      <c r="P32" s="150">
        <v>65.6501610716399</v>
      </c>
      <c r="Q32" s="150">
        <v>88.085648819630379</v>
      </c>
      <c r="R32" s="150">
        <v>109.19925048137441</v>
      </c>
      <c r="S32" s="150">
        <v>119.85389506057849</v>
      </c>
      <c r="T32" s="150">
        <v>130.7525716645919</v>
      </c>
      <c r="U32" s="149">
        <v>2.7698553807501409</v>
      </c>
    </row>
    <row r="33" spans="2:21" ht="17" thickBot="1" x14ac:dyDescent="0.25">
      <c r="B33" s="99">
        <v>2025</v>
      </c>
      <c r="C33" s="171">
        <f t="shared" si="4"/>
        <v>8.1949130626617045E-2</v>
      </c>
      <c r="D33" s="171">
        <f t="shared" si="5"/>
        <v>0.20911645596241663</v>
      </c>
      <c r="E33" s="171">
        <f t="shared" si="6"/>
        <v>0.19832332664482591</v>
      </c>
      <c r="F33" s="171">
        <f t="shared" si="7"/>
        <v>0.17247257236358365</v>
      </c>
      <c r="G33" s="171">
        <f t="shared" si="8"/>
        <v>0.11577822893061844</v>
      </c>
      <c r="H33" s="171">
        <f t="shared" si="9"/>
        <v>0.18438265202061213</v>
      </c>
      <c r="I33" s="170">
        <f t="shared" si="10"/>
        <v>3.7977633451326195E-2</v>
      </c>
      <c r="J33" s="21"/>
      <c r="M33" s="150" t="s">
        <v>533</v>
      </c>
      <c r="N33" s="150">
        <v>3369.002323268804</v>
      </c>
      <c r="O33" s="150">
        <v>3668.3140254094092</v>
      </c>
      <c r="P33" s="150">
        <v>3876.855430605206</v>
      </c>
      <c r="Q33" s="150">
        <v>4194.6051931720667</v>
      </c>
      <c r="R33" s="150">
        <v>4434.6078597560727</v>
      </c>
      <c r="S33" s="150">
        <v>4719.2339682477441</v>
      </c>
      <c r="T33" s="150">
        <v>5014.0987531502333</v>
      </c>
      <c r="U33" s="149">
        <v>1.334279921126003</v>
      </c>
    </row>
    <row r="34" spans="2:21" ht="17" thickBot="1" x14ac:dyDescent="0.25">
      <c r="B34" s="99">
        <v>2030</v>
      </c>
      <c r="C34" s="171">
        <f t="shared" si="4"/>
        <v>5.0131571512507432E-2</v>
      </c>
      <c r="D34" s="171">
        <f t="shared" si="5"/>
        <v>0.18670920543682945</v>
      </c>
      <c r="E34" s="171">
        <f t="shared" si="6"/>
        <v>0.1611873163413157</v>
      </c>
      <c r="F34" s="171">
        <f t="shared" si="7"/>
        <v>0.16109554087435757</v>
      </c>
      <c r="G34" s="171">
        <f t="shared" si="8"/>
        <v>0.20511378878517469</v>
      </c>
      <c r="H34" s="171">
        <f t="shared" si="9"/>
        <v>0.20511378878517469</v>
      </c>
      <c r="I34" s="170">
        <f t="shared" si="10"/>
        <v>3.0648788264640438E-2</v>
      </c>
      <c r="J34" s="21"/>
      <c r="M34" s="337" t="s">
        <v>532</v>
      </c>
      <c r="N34" s="337"/>
      <c r="O34" s="337"/>
      <c r="P34" s="337"/>
      <c r="Q34" s="337"/>
      <c r="R34" s="337"/>
      <c r="S34" s="337"/>
      <c r="T34" s="337"/>
      <c r="U34" s="337"/>
    </row>
    <row r="35" spans="2:21" ht="17" thickBot="1" x14ac:dyDescent="0.25">
      <c r="B35" s="99">
        <v>2035</v>
      </c>
      <c r="C35" s="171">
        <f t="shared" si="4"/>
        <v>5.0203130578283177E-2</v>
      </c>
      <c r="D35" s="171">
        <f t="shared" si="5"/>
        <v>0.1774953894702237</v>
      </c>
      <c r="E35" s="171">
        <f t="shared" si="6"/>
        <v>0.15677544031146309</v>
      </c>
      <c r="F35" s="171">
        <f t="shared" si="7"/>
        <v>0.16446772664963741</v>
      </c>
      <c r="G35" s="171">
        <f t="shared" si="8"/>
        <v>0.14208118627897492</v>
      </c>
      <c r="H35" s="171">
        <f t="shared" si="9"/>
        <v>0.27585158994947034</v>
      </c>
      <c r="I35" s="170">
        <f t="shared" si="10"/>
        <v>3.3125536761947239E-2</v>
      </c>
      <c r="J35" s="21"/>
      <c r="M35" s="337"/>
      <c r="N35" s="337"/>
      <c r="O35" s="337"/>
      <c r="P35" s="337"/>
      <c r="Q35" s="337"/>
      <c r="R35" s="337"/>
      <c r="S35" s="337"/>
      <c r="T35" s="337"/>
      <c r="U35" s="337"/>
    </row>
    <row r="36" spans="2:21" ht="17" thickBot="1" x14ac:dyDescent="0.25">
      <c r="B36" s="99">
        <v>2040</v>
      </c>
      <c r="C36" s="171">
        <f t="shared" si="4"/>
        <v>4.4180186158497128E-2</v>
      </c>
      <c r="D36" s="171">
        <f t="shared" si="5"/>
        <v>0.13259035325437435</v>
      </c>
      <c r="E36" s="171">
        <f t="shared" si="6"/>
        <v>0.1162599903133506</v>
      </c>
      <c r="F36" s="171">
        <f t="shared" si="7"/>
        <v>0.13507048334371557</v>
      </c>
      <c r="G36" s="171">
        <f t="shared" si="8"/>
        <v>0.27100442358326599</v>
      </c>
      <c r="H36" s="171">
        <f t="shared" si="9"/>
        <v>0.27100442358326604</v>
      </c>
      <c r="I36" s="170">
        <f t="shared" si="10"/>
        <v>2.989013976353037E-2</v>
      </c>
      <c r="J36" s="21"/>
      <c r="M36" s="337"/>
      <c r="N36" s="337"/>
      <c r="O36" s="337"/>
      <c r="P36" s="337"/>
      <c r="Q36" s="337"/>
      <c r="R36" s="337"/>
      <c r="S36" s="337"/>
      <c r="T36" s="337"/>
      <c r="U36" s="337"/>
    </row>
    <row r="37" spans="2:21" ht="17" thickBot="1" x14ac:dyDescent="0.25">
      <c r="B37" s="99">
        <v>2045</v>
      </c>
      <c r="C37" s="171">
        <f t="shared" si="4"/>
        <v>4.5425833767478302E-2</v>
      </c>
      <c r="D37" s="171">
        <f t="shared" si="5"/>
        <v>0.14772174535357954</v>
      </c>
      <c r="E37" s="171">
        <f t="shared" si="6"/>
        <v>9.71938684963876E-2</v>
      </c>
      <c r="F37" s="171">
        <f t="shared" si="7"/>
        <v>0.15258923842500513</v>
      </c>
      <c r="G37" s="171">
        <f t="shared" si="8"/>
        <v>0.14594969543386471</v>
      </c>
      <c r="H37" s="171">
        <f t="shared" si="9"/>
        <v>0.37585603674835089</v>
      </c>
      <c r="I37" s="170">
        <f t="shared" si="10"/>
        <v>3.5263581775333869E-2</v>
      </c>
      <c r="J37" s="21"/>
      <c r="M37" s="337"/>
      <c r="N37" s="337"/>
      <c r="O37" s="337"/>
      <c r="P37" s="337"/>
      <c r="Q37" s="337"/>
      <c r="R37" s="337"/>
      <c r="S37" s="337"/>
      <c r="T37" s="337"/>
      <c r="U37" s="337"/>
    </row>
    <row r="38" spans="2:21" ht="17" thickBot="1" x14ac:dyDescent="0.25">
      <c r="B38" s="98">
        <v>2050</v>
      </c>
      <c r="C38" s="171">
        <f t="shared" si="4"/>
        <v>3.5298257518588054E-2</v>
      </c>
      <c r="D38" s="171">
        <f t="shared" si="5"/>
        <v>0.11409504888025046</v>
      </c>
      <c r="E38" s="171">
        <f t="shared" si="6"/>
        <v>5.9031810673309988E-2</v>
      </c>
      <c r="F38" s="171">
        <f t="shared" si="7"/>
        <v>0.12072382380400661</v>
      </c>
      <c r="G38" s="171">
        <f t="shared" si="8"/>
        <v>0.32101813320133371</v>
      </c>
      <c r="H38" s="171">
        <f t="shared" si="9"/>
        <v>0.32101813320133371</v>
      </c>
      <c r="I38" s="170">
        <f t="shared" si="10"/>
        <v>2.8814792721177464E-2</v>
      </c>
      <c r="J38" s="21"/>
      <c r="M38" s="337"/>
      <c r="N38" s="337"/>
      <c r="O38" s="337"/>
      <c r="P38" s="337"/>
      <c r="Q38" s="337"/>
      <c r="R38" s="337"/>
      <c r="S38" s="337"/>
      <c r="T38" s="337"/>
      <c r="U38" s="337"/>
    </row>
    <row r="39" spans="2:21" ht="17" thickBot="1" x14ac:dyDescent="0.25">
      <c r="B39" s="154"/>
      <c r="C39" s="153"/>
      <c r="D39" s="153"/>
      <c r="E39" s="153"/>
      <c r="F39" s="153"/>
      <c r="G39" s="153"/>
      <c r="H39" s="153"/>
      <c r="I39" s="152"/>
      <c r="M39" s="337"/>
      <c r="N39" s="337"/>
      <c r="O39" s="337"/>
      <c r="P39" s="337"/>
      <c r="Q39" s="337"/>
      <c r="R39" s="337"/>
      <c r="S39" s="337"/>
      <c r="T39" s="337"/>
      <c r="U39" s="337"/>
    </row>
    <row r="40" spans="2:21" ht="17" thickBot="1" x14ac:dyDescent="0.25">
      <c r="M40" s="337"/>
      <c r="N40" s="337"/>
      <c r="O40" s="337"/>
      <c r="P40" s="337"/>
      <c r="Q40" s="337"/>
      <c r="R40" s="337"/>
      <c r="S40" s="337"/>
      <c r="T40" s="337"/>
      <c r="U40" s="337"/>
    </row>
    <row r="41" spans="2:21" ht="17" thickBot="1" x14ac:dyDescent="0.25">
      <c r="M41" s="337"/>
      <c r="N41" s="337"/>
      <c r="O41" s="337"/>
      <c r="P41" s="337"/>
      <c r="Q41" s="337"/>
      <c r="R41" s="337"/>
      <c r="S41" s="337"/>
      <c r="T41" s="337"/>
      <c r="U41" s="337"/>
    </row>
    <row r="42" spans="2:21" ht="20" customHeight="1" thickBot="1" x14ac:dyDescent="0.25">
      <c r="B42" s="331" t="s">
        <v>557</v>
      </c>
      <c r="C42" s="332"/>
      <c r="D42" s="332"/>
      <c r="E42" s="332"/>
      <c r="F42" s="332"/>
      <c r="G42" s="332"/>
      <c r="H42" s="332"/>
      <c r="I42" s="333"/>
      <c r="J42" s="334" t="s">
        <v>548</v>
      </c>
      <c r="K42" s="335" t="s">
        <v>547</v>
      </c>
      <c r="L42" s="336" t="s">
        <v>546</v>
      </c>
      <c r="M42" s="337"/>
      <c r="N42" s="337"/>
      <c r="O42" s="337"/>
      <c r="P42" s="337"/>
      <c r="Q42" s="337"/>
      <c r="R42" s="337"/>
      <c r="S42" s="337"/>
      <c r="T42" s="337"/>
      <c r="U42" s="337"/>
    </row>
    <row r="43" spans="2:21" ht="17" thickBot="1" x14ac:dyDescent="0.25">
      <c r="B43" s="96" t="s">
        <v>270</v>
      </c>
      <c r="C43" s="168" t="s">
        <v>446</v>
      </c>
      <c r="D43" s="168" t="s">
        <v>444</v>
      </c>
      <c r="E43" s="168" t="s">
        <v>454</v>
      </c>
      <c r="F43" s="168" t="s">
        <v>521</v>
      </c>
      <c r="G43" s="168" t="s">
        <v>452</v>
      </c>
      <c r="H43" s="168" t="s">
        <v>450</v>
      </c>
      <c r="I43" s="167" t="s">
        <v>520</v>
      </c>
      <c r="J43" s="334"/>
      <c r="K43" s="335"/>
      <c r="L43" s="336"/>
      <c r="M43" s="337"/>
      <c r="N43" s="337"/>
      <c r="O43" s="337"/>
      <c r="P43" s="337"/>
      <c r="Q43" s="337"/>
      <c r="R43" s="337"/>
      <c r="S43" s="337"/>
      <c r="T43" s="337"/>
      <c r="U43" s="337"/>
    </row>
    <row r="44" spans="2:21" x14ac:dyDescent="0.2">
      <c r="B44" s="101"/>
      <c r="C44" s="158"/>
      <c r="D44" s="158"/>
      <c r="E44" s="158"/>
      <c r="F44" s="158"/>
      <c r="G44" s="158"/>
      <c r="H44" s="158"/>
      <c r="I44" s="220"/>
      <c r="J44" s="163"/>
      <c r="K44" s="162"/>
      <c r="L44" s="161"/>
      <c r="M44" s="337"/>
      <c r="N44" s="337"/>
      <c r="O44" s="337"/>
      <c r="P44" s="337"/>
      <c r="Q44" s="337"/>
      <c r="R44" s="337"/>
      <c r="S44" s="337"/>
      <c r="T44" s="337"/>
      <c r="U44" s="337"/>
    </row>
    <row r="45" spans="2:21" x14ac:dyDescent="0.2">
      <c r="B45" s="99">
        <v>2020</v>
      </c>
      <c r="C45" s="158">
        <f t="shared" ref="C45:C51" si="11">C32*$J$8</f>
        <v>117.9412837295588</v>
      </c>
      <c r="D45" s="158">
        <f t="shared" ref="D45:D51" si="12">D32*$J$9</f>
        <v>110.82619458630187</v>
      </c>
      <c r="E45" s="157">
        <f t="shared" ref="E45:E51" si="13">E32*$J$4</f>
        <v>3.5178231139871707</v>
      </c>
      <c r="F45" s="157">
        <f t="shared" ref="F45:F51" si="14">F32*$J$7</f>
        <v>0.6738972456786394</v>
      </c>
      <c r="G45" s="157">
        <f t="shared" ref="G45:G51" si="15">G32*$J$5</f>
        <v>5.5167659364519865</v>
      </c>
      <c r="H45" s="158">
        <f t="shared" ref="H45:H51" si="16">H32*$J$6</f>
        <v>0.71638057612322703</v>
      </c>
      <c r="I45" s="219">
        <f t="shared" ref="I45:I51" si="17">I32*$J$10</f>
        <v>0.72386697048201532</v>
      </c>
      <c r="J45" s="155">
        <f t="shared" ref="J45:J51" si="18">SUM(C45:I45)</f>
        <v>239.91621215858368</v>
      </c>
      <c r="K45" s="155">
        <f>$J$8-J45</f>
        <v>761.08378784141632</v>
      </c>
      <c r="L45" s="155">
        <f t="shared" ref="L45:L51" si="19">K45/1011</f>
        <v>0.75280295533275599</v>
      </c>
    </row>
    <row r="46" spans="2:21" x14ac:dyDescent="0.2">
      <c r="B46" s="99">
        <v>2025</v>
      </c>
      <c r="C46" s="158">
        <f t="shared" si="11"/>
        <v>82.03107975724366</v>
      </c>
      <c r="D46" s="158">
        <f t="shared" si="12"/>
        <v>98.07561784637339</v>
      </c>
      <c r="E46" s="157">
        <f t="shared" si="13"/>
        <v>3.1731732263172145</v>
      </c>
      <c r="F46" s="157">
        <f t="shared" si="14"/>
        <v>0.68989028945433462</v>
      </c>
      <c r="G46" s="157">
        <f t="shared" si="15"/>
        <v>4.0522380125716451</v>
      </c>
      <c r="H46" s="158">
        <f t="shared" si="16"/>
        <v>2.2125918242473457</v>
      </c>
      <c r="I46" s="219">
        <f t="shared" si="17"/>
        <v>0.68359740212387154</v>
      </c>
      <c r="J46" s="155">
        <f t="shared" si="18"/>
        <v>190.91818835833143</v>
      </c>
      <c r="K46" s="155">
        <f t="shared" ref="K46:K51" si="20">$J$8-J46</f>
        <v>810.08181164166854</v>
      </c>
      <c r="L46" s="155">
        <f t="shared" si="19"/>
        <v>0.80126786512529036</v>
      </c>
    </row>
    <row r="47" spans="2:21" x14ac:dyDescent="0.2">
      <c r="B47" s="99">
        <v>2030</v>
      </c>
      <c r="C47" s="158">
        <f t="shared" si="11"/>
        <v>50.181703084019937</v>
      </c>
      <c r="D47" s="158">
        <f t="shared" si="12"/>
        <v>87.566617349873013</v>
      </c>
      <c r="E47" s="157">
        <f t="shared" si="13"/>
        <v>2.5789970614610511</v>
      </c>
      <c r="F47" s="157">
        <f t="shared" si="14"/>
        <v>0.64438216349743027</v>
      </c>
      <c r="G47" s="157">
        <f t="shared" si="15"/>
        <v>7.1789826074811147</v>
      </c>
      <c r="H47" s="158">
        <f t="shared" si="16"/>
        <v>2.4613654654220962</v>
      </c>
      <c r="I47" s="219">
        <f t="shared" si="17"/>
        <v>0.55167818876352792</v>
      </c>
      <c r="J47" s="155">
        <f t="shared" si="18"/>
        <v>151.16372592051817</v>
      </c>
      <c r="K47" s="155">
        <f t="shared" si="20"/>
        <v>849.83627407948188</v>
      </c>
      <c r="L47" s="155">
        <f t="shared" si="19"/>
        <v>0.84058978642876547</v>
      </c>
    </row>
    <row r="48" spans="2:21" x14ac:dyDescent="0.2">
      <c r="B48" s="99">
        <v>2035</v>
      </c>
      <c r="C48" s="158">
        <f t="shared" si="11"/>
        <v>50.253333708861462</v>
      </c>
      <c r="D48" s="158">
        <f t="shared" si="12"/>
        <v>83.245337661534919</v>
      </c>
      <c r="E48" s="157">
        <f t="shared" si="13"/>
        <v>2.5084070449834095</v>
      </c>
      <c r="F48" s="157">
        <f t="shared" si="14"/>
        <v>0.65787090659854963</v>
      </c>
      <c r="G48" s="157">
        <f t="shared" si="15"/>
        <v>4.9728415197641223</v>
      </c>
      <c r="H48" s="158">
        <f t="shared" si="16"/>
        <v>3.3102190793936441</v>
      </c>
      <c r="I48" s="219">
        <f t="shared" si="17"/>
        <v>0.59625966171505029</v>
      </c>
      <c r="J48" s="155">
        <f t="shared" si="18"/>
        <v>145.54426958285117</v>
      </c>
      <c r="K48" s="155">
        <f t="shared" si="20"/>
        <v>855.45573041714886</v>
      </c>
      <c r="L48" s="155">
        <f t="shared" si="19"/>
        <v>0.84614810130281781</v>
      </c>
    </row>
    <row r="49" spans="2:12" x14ac:dyDescent="0.2">
      <c r="B49" s="99">
        <v>2040</v>
      </c>
      <c r="C49" s="158">
        <f t="shared" si="11"/>
        <v>44.224366344655628</v>
      </c>
      <c r="D49" s="158">
        <f t="shared" si="12"/>
        <v>62.184875676301573</v>
      </c>
      <c r="E49" s="157">
        <f t="shared" si="13"/>
        <v>1.8601598450136096</v>
      </c>
      <c r="F49" s="157">
        <f t="shared" si="14"/>
        <v>0.5402819333748623</v>
      </c>
      <c r="G49" s="157">
        <f t="shared" si="15"/>
        <v>9.485154825414309</v>
      </c>
      <c r="H49" s="158">
        <f t="shared" si="16"/>
        <v>3.2520530829991925</v>
      </c>
      <c r="I49" s="219">
        <f t="shared" si="17"/>
        <v>0.53802251574354665</v>
      </c>
      <c r="J49" s="155">
        <f t="shared" si="18"/>
        <v>122.08491422350274</v>
      </c>
      <c r="K49" s="155">
        <f t="shared" si="20"/>
        <v>878.91508577649722</v>
      </c>
      <c r="L49" s="155">
        <f t="shared" si="19"/>
        <v>0.86935221145054131</v>
      </c>
    </row>
    <row r="50" spans="2:12" x14ac:dyDescent="0.2">
      <c r="B50" s="99">
        <v>2045</v>
      </c>
      <c r="C50" s="158">
        <f t="shared" si="11"/>
        <v>45.471259601245784</v>
      </c>
      <c r="D50" s="158">
        <f t="shared" si="12"/>
        <v>69.281498570828802</v>
      </c>
      <c r="E50" s="157">
        <f t="shared" si="13"/>
        <v>1.5551018959422016</v>
      </c>
      <c r="F50" s="157">
        <f t="shared" si="14"/>
        <v>0.61035695370002052</v>
      </c>
      <c r="G50" s="157">
        <f t="shared" si="15"/>
        <v>5.108239340185265</v>
      </c>
      <c r="H50" s="158">
        <f t="shared" si="16"/>
        <v>4.5102724409802111</v>
      </c>
      <c r="I50" s="219">
        <f t="shared" si="17"/>
        <v>0.63474447195600958</v>
      </c>
      <c r="J50" s="155">
        <f t="shared" si="18"/>
        <v>127.17147327483829</v>
      </c>
      <c r="K50" s="155">
        <f t="shared" si="20"/>
        <v>873.82852672516174</v>
      </c>
      <c r="L50" s="155">
        <f t="shared" si="19"/>
        <v>0.86432099577167332</v>
      </c>
    </row>
    <row r="51" spans="2:12" x14ac:dyDescent="0.2">
      <c r="B51" s="98">
        <v>2050</v>
      </c>
      <c r="C51" s="158">
        <f t="shared" si="11"/>
        <v>35.333555776106643</v>
      </c>
      <c r="D51" s="158">
        <f t="shared" si="12"/>
        <v>53.510577924837463</v>
      </c>
      <c r="E51" s="157">
        <f t="shared" si="13"/>
        <v>0.94450897077295981</v>
      </c>
      <c r="F51" s="157">
        <f t="shared" si="14"/>
        <v>0.48289529521602642</v>
      </c>
      <c r="G51" s="157">
        <f t="shared" si="15"/>
        <v>11.23563466204668</v>
      </c>
      <c r="H51" s="158">
        <f t="shared" si="16"/>
        <v>3.8522175984160043</v>
      </c>
      <c r="I51" s="219">
        <f t="shared" si="17"/>
        <v>0.51866626898119439</v>
      </c>
      <c r="J51" s="155">
        <f t="shared" si="18"/>
        <v>105.87805649637696</v>
      </c>
      <c r="K51" s="155">
        <f t="shared" si="20"/>
        <v>895.12194350362302</v>
      </c>
      <c r="L51" s="155">
        <f t="shared" si="19"/>
        <v>0.88538273343582885</v>
      </c>
    </row>
    <row r="52" spans="2:12" x14ac:dyDescent="0.2">
      <c r="B52" s="154"/>
      <c r="C52" s="153"/>
      <c r="D52" s="153"/>
      <c r="E52" s="153"/>
      <c r="F52" s="153"/>
      <c r="G52" s="153"/>
      <c r="H52" s="153"/>
      <c r="I52" s="152"/>
      <c r="J52" s="151"/>
      <c r="K52" s="151"/>
      <c r="L52" s="151"/>
    </row>
    <row r="55" spans="2:12" ht="19" x14ac:dyDescent="0.2">
      <c r="B55" s="330"/>
      <c r="C55" s="330"/>
      <c r="D55" s="330"/>
      <c r="E55" s="330"/>
      <c r="F55" s="330"/>
      <c r="G55" s="330"/>
      <c r="H55" s="330"/>
      <c r="I55" s="330"/>
    </row>
    <row r="56" spans="2:12" x14ac:dyDescent="0.2">
      <c r="B56" s="147"/>
      <c r="C56" s="147"/>
      <c r="D56" s="147"/>
      <c r="E56" s="147"/>
      <c r="F56" s="147"/>
      <c r="G56" s="147"/>
      <c r="H56" s="147"/>
      <c r="I56" s="147"/>
    </row>
    <row r="57" spans="2:12" x14ac:dyDescent="0.2">
      <c r="B57" s="143"/>
      <c r="C57" s="145"/>
      <c r="D57" s="145"/>
      <c r="E57" s="145"/>
      <c r="F57" s="145"/>
      <c r="G57" s="145"/>
      <c r="H57" s="145"/>
      <c r="I57" s="145"/>
      <c r="J57" s="3"/>
    </row>
    <row r="58" spans="2:12" x14ac:dyDescent="0.2">
      <c r="B58" s="143"/>
      <c r="C58" s="145"/>
      <c r="D58" s="145"/>
      <c r="E58" s="145"/>
      <c r="F58" s="145"/>
      <c r="G58" s="145"/>
      <c r="H58" s="145"/>
      <c r="I58" s="145"/>
      <c r="J58" s="3"/>
    </row>
    <row r="59" spans="2:12" x14ac:dyDescent="0.2">
      <c r="B59" s="143"/>
      <c r="C59" s="145"/>
      <c r="D59" s="145"/>
      <c r="E59" s="145"/>
      <c r="F59" s="145"/>
      <c r="G59" s="145"/>
      <c r="H59" s="145"/>
      <c r="I59" s="145"/>
      <c r="J59" s="3"/>
    </row>
    <row r="60" spans="2:12" x14ac:dyDescent="0.2">
      <c r="B60" s="143"/>
      <c r="C60" s="145"/>
      <c r="D60" s="145"/>
      <c r="E60" s="145"/>
      <c r="F60" s="145"/>
      <c r="G60" s="145"/>
      <c r="H60" s="145"/>
      <c r="I60" s="145"/>
      <c r="J60" s="3"/>
    </row>
    <row r="61" spans="2:12" x14ac:dyDescent="0.2">
      <c r="B61" s="143"/>
      <c r="C61" s="145"/>
      <c r="D61" s="145"/>
      <c r="E61" s="145"/>
      <c r="F61" s="145"/>
      <c r="G61" s="145"/>
      <c r="H61" s="145"/>
      <c r="I61" s="145"/>
      <c r="J61" s="3"/>
    </row>
    <row r="62" spans="2:12" x14ac:dyDescent="0.2">
      <c r="B62" s="143"/>
      <c r="C62" s="143"/>
      <c r="D62" s="143"/>
      <c r="E62" s="143"/>
      <c r="F62" s="143"/>
      <c r="G62" s="143"/>
      <c r="H62" s="143"/>
      <c r="I62" s="143"/>
    </row>
    <row r="65" spans="2:10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</row>
    <row r="66" spans="2:10" x14ac:dyDescent="0.2">
      <c r="B66" s="147"/>
      <c r="C66" s="147"/>
      <c r="D66" s="147"/>
      <c r="E66" s="147"/>
      <c r="F66" s="147"/>
      <c r="G66" s="147"/>
      <c r="H66" s="147"/>
      <c r="I66" s="147"/>
      <c r="J66" s="218"/>
    </row>
    <row r="67" spans="2:10" x14ac:dyDescent="0.2">
      <c r="B67" s="143"/>
      <c r="C67" s="145"/>
      <c r="D67" s="145"/>
      <c r="E67" s="145"/>
      <c r="F67" s="145"/>
      <c r="G67" s="145"/>
      <c r="H67" s="145"/>
      <c r="I67" s="145"/>
      <c r="J67" s="145"/>
    </row>
    <row r="68" spans="2:10" x14ac:dyDescent="0.2">
      <c r="B68" s="143"/>
      <c r="C68" s="145"/>
      <c r="D68" s="145"/>
      <c r="E68" s="145"/>
      <c r="F68" s="145"/>
      <c r="G68" s="145"/>
      <c r="H68" s="145"/>
      <c r="I68" s="145"/>
      <c r="J68" s="145"/>
    </row>
    <row r="69" spans="2:10" x14ac:dyDescent="0.2">
      <c r="B69" s="143"/>
      <c r="C69" s="145"/>
      <c r="D69" s="145"/>
      <c r="E69" s="145"/>
      <c r="F69" s="145"/>
      <c r="G69" s="145"/>
      <c r="H69" s="145"/>
      <c r="I69" s="145"/>
      <c r="J69" s="145"/>
    </row>
    <row r="70" spans="2:10" x14ac:dyDescent="0.2">
      <c r="B70" s="143"/>
      <c r="C70" s="145"/>
      <c r="D70" s="145"/>
      <c r="E70" s="145"/>
      <c r="F70" s="145"/>
      <c r="G70" s="145"/>
      <c r="H70" s="145"/>
      <c r="I70" s="145"/>
      <c r="J70" s="145"/>
    </row>
    <row r="71" spans="2:10" x14ac:dyDescent="0.2">
      <c r="B71" s="143"/>
      <c r="C71" s="145"/>
      <c r="D71" s="145"/>
      <c r="E71" s="145"/>
      <c r="F71" s="145"/>
      <c r="G71" s="145"/>
      <c r="H71" s="145"/>
      <c r="I71" s="145"/>
      <c r="J71" s="145"/>
    </row>
    <row r="72" spans="2:10" x14ac:dyDescent="0.2">
      <c r="B72" s="143"/>
      <c r="C72" s="143"/>
      <c r="D72" s="143"/>
      <c r="E72" s="143"/>
      <c r="F72" s="143"/>
      <c r="G72" s="143"/>
      <c r="H72" s="143"/>
      <c r="I72" s="143"/>
      <c r="J72" s="218"/>
    </row>
  </sheetData>
  <mergeCells count="10">
    <mergeCell ref="M34:U44"/>
    <mergeCell ref="B65:I65"/>
    <mergeCell ref="B2:I2"/>
    <mergeCell ref="B17:I17"/>
    <mergeCell ref="B29:I29"/>
    <mergeCell ref="B42:I42"/>
    <mergeCell ref="B55:I55"/>
    <mergeCell ref="J42:J43"/>
    <mergeCell ref="K42:K43"/>
    <mergeCell ref="L42:L4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061D9-FE10-4082-87B5-BF945D93E420}">
  <sheetPr>
    <tabColor theme="6"/>
  </sheetPr>
  <dimension ref="A1:U72"/>
  <sheetViews>
    <sheetView topLeftCell="I20" workbookViewId="0">
      <selection activeCell="J4" sqref="J4:J10"/>
    </sheetView>
  </sheetViews>
  <sheetFormatPr baseColWidth="10" defaultColWidth="11" defaultRowHeight="16" x14ac:dyDescent="0.2"/>
  <cols>
    <col min="3" max="3" width="12" customWidth="1"/>
    <col min="5" max="5" width="14.1640625" customWidth="1"/>
    <col min="9" max="9" width="13.6640625" bestFit="1" customWidth="1"/>
    <col min="10" max="10" width="12.83203125" customWidth="1"/>
  </cols>
  <sheetData>
    <row r="1" spans="1:11" x14ac:dyDescent="0.2">
      <c r="A1" s="4" t="s">
        <v>568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x14ac:dyDescent="0.2">
      <c r="A2" s="4"/>
      <c r="B2" s="321" t="s">
        <v>461</v>
      </c>
      <c r="C2" s="321"/>
      <c r="D2" s="321"/>
      <c r="E2" s="321"/>
      <c r="F2" s="321"/>
      <c r="G2" s="321"/>
      <c r="H2" s="321"/>
      <c r="I2" s="321"/>
      <c r="J2" s="4"/>
      <c r="K2" s="4"/>
    </row>
    <row r="3" spans="1:11" ht="68" x14ac:dyDescent="0.2">
      <c r="A3" s="4"/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35" t="s">
        <v>527</v>
      </c>
      <c r="J3" s="39" t="s">
        <v>460</v>
      </c>
      <c r="K3" s="213"/>
    </row>
    <row r="4" spans="1:11" x14ac:dyDescent="0.2">
      <c r="A4" s="4"/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34">
        <v>0</v>
      </c>
      <c r="I4" s="231">
        <v>0</v>
      </c>
      <c r="J4" s="85">
        <v>16</v>
      </c>
      <c r="K4" s="194"/>
    </row>
    <row r="5" spans="1:11" x14ac:dyDescent="0.2">
      <c r="A5" s="4"/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1.515152E-2</v>
      </c>
      <c r="G5" s="206"/>
      <c r="H5" s="234">
        <v>0</v>
      </c>
      <c r="I5" s="231">
        <v>0</v>
      </c>
      <c r="J5" s="85">
        <v>35</v>
      </c>
      <c r="K5" s="194"/>
    </row>
    <row r="6" spans="1:11" x14ac:dyDescent="0.2">
      <c r="A6" s="4"/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34">
        <v>0</v>
      </c>
      <c r="I6" s="231">
        <v>0</v>
      </c>
      <c r="J6" s="85">
        <v>12</v>
      </c>
      <c r="K6" s="194"/>
    </row>
    <row r="7" spans="1:11" x14ac:dyDescent="0.2">
      <c r="A7" s="4"/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0.24494949999999999</v>
      </c>
      <c r="G7" s="206"/>
      <c r="H7" s="234">
        <v>0</v>
      </c>
      <c r="I7" s="231">
        <v>0</v>
      </c>
      <c r="J7" s="85">
        <v>4</v>
      </c>
      <c r="K7" s="194"/>
    </row>
    <row r="8" spans="1:11" x14ac:dyDescent="0.2">
      <c r="A8" s="4"/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0.27525253</v>
      </c>
      <c r="G8" s="206"/>
      <c r="H8" s="234">
        <v>0</v>
      </c>
      <c r="I8" s="231">
        <v>0</v>
      </c>
      <c r="J8" s="85">
        <v>1001</v>
      </c>
      <c r="K8" s="194"/>
    </row>
    <row r="9" spans="1:11" x14ac:dyDescent="0.2">
      <c r="A9" s="4"/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0.1969697</v>
      </c>
      <c r="G9" s="206"/>
      <c r="H9" s="234">
        <v>0</v>
      </c>
      <c r="I9" s="231">
        <v>0</v>
      </c>
      <c r="J9" s="85">
        <v>469</v>
      </c>
      <c r="K9" s="194"/>
    </row>
    <row r="10" spans="1:11" x14ac:dyDescent="0.2">
      <c r="A10" s="4"/>
      <c r="B10" s="209" t="s">
        <v>555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0.24747474999999999</v>
      </c>
      <c r="G10" s="206"/>
      <c r="H10" s="234">
        <v>0</v>
      </c>
      <c r="I10" s="231">
        <v>0</v>
      </c>
      <c r="J10" s="85">
        <v>18</v>
      </c>
      <c r="K10" s="194"/>
    </row>
    <row r="11" spans="1:11" x14ac:dyDescent="0.2">
      <c r="A11" s="4"/>
      <c r="B11" s="209"/>
      <c r="C11" s="208"/>
      <c r="D11" s="206"/>
      <c r="E11" s="207"/>
      <c r="F11" s="206"/>
      <c r="G11" s="206"/>
      <c r="H11" s="232"/>
      <c r="I11" s="233"/>
      <c r="J11" s="194"/>
      <c r="K11" s="194"/>
    </row>
    <row r="12" spans="1:11" x14ac:dyDescent="0.2">
      <c r="A12" s="4"/>
      <c r="B12" s="209"/>
      <c r="C12" s="208"/>
      <c r="D12" s="206"/>
      <c r="E12" s="207" t="s">
        <v>567</v>
      </c>
      <c r="F12" s="206">
        <v>1</v>
      </c>
      <c r="G12" s="206"/>
      <c r="H12" s="232"/>
      <c r="I12" s="231">
        <v>0</v>
      </c>
      <c r="J12" s="194">
        <f>SUM(J4:J11)</f>
        <v>1555</v>
      </c>
      <c r="K12" s="194"/>
    </row>
    <row r="13" spans="1:11" ht="51" x14ac:dyDescent="0.2">
      <c r="A13" s="4"/>
      <c r="B13" s="203"/>
      <c r="C13" s="202"/>
      <c r="D13" s="201"/>
      <c r="E13" s="201"/>
      <c r="F13" s="201"/>
      <c r="G13" s="200" t="s">
        <v>440</v>
      </c>
      <c r="H13" s="230"/>
      <c r="I13" s="229">
        <v>0</v>
      </c>
      <c r="J13" s="197">
        <f>J12/7</f>
        <v>222.14285714285714</v>
      </c>
      <c r="K13" s="196"/>
    </row>
    <row r="14" spans="1:11" x14ac:dyDescent="0.2">
      <c r="A14" s="4"/>
      <c r="B14" s="194"/>
      <c r="C14" s="195"/>
      <c r="D14" s="194"/>
      <c r="E14" s="194"/>
      <c r="F14" s="194"/>
      <c r="G14" s="194"/>
      <c r="H14" s="194"/>
      <c r="I14" s="194"/>
      <c r="J14" s="194"/>
      <c r="K14" s="194"/>
    </row>
    <row r="15" spans="1:1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20" ht="19" x14ac:dyDescent="0.2">
      <c r="A17" s="4"/>
      <c r="B17" s="331" t="s">
        <v>566</v>
      </c>
      <c r="C17" s="332"/>
      <c r="D17" s="332"/>
      <c r="E17" s="332"/>
      <c r="F17" s="332"/>
      <c r="G17" s="332"/>
      <c r="H17" s="332"/>
      <c r="I17" s="332"/>
      <c r="J17" s="191"/>
      <c r="K17" s="4"/>
      <c r="L17" s="166" t="s">
        <v>551</v>
      </c>
      <c r="T17" s="165"/>
    </row>
    <row r="18" spans="1:20" x14ac:dyDescent="0.2">
      <c r="A18" s="4"/>
      <c r="B18" s="227" t="s">
        <v>270</v>
      </c>
      <c r="C18" s="80" t="s">
        <v>446</v>
      </c>
      <c r="D18" s="80" t="s">
        <v>444</v>
      </c>
      <c r="E18" s="80" t="s">
        <v>454</v>
      </c>
      <c r="F18" s="80" t="s">
        <v>521</v>
      </c>
      <c r="G18" s="80" t="s">
        <v>452</v>
      </c>
      <c r="H18" s="80" t="s">
        <v>450</v>
      </c>
      <c r="I18" s="80" t="s">
        <v>520</v>
      </c>
      <c r="J18" s="221" t="s">
        <v>463</v>
      </c>
      <c r="K18" s="4"/>
      <c r="L18" s="166" t="s">
        <v>550</v>
      </c>
      <c r="T18" s="165"/>
    </row>
    <row r="19" spans="1:20" x14ac:dyDescent="0.2">
      <c r="A19" s="4"/>
      <c r="B19" s="189"/>
      <c r="C19" s="188"/>
      <c r="D19" s="188"/>
      <c r="E19" s="188"/>
      <c r="F19" s="188"/>
      <c r="G19" s="188"/>
      <c r="H19" s="188"/>
      <c r="I19" s="188"/>
      <c r="J19" s="182"/>
      <c r="K19" s="4"/>
      <c r="T19" s="165"/>
    </row>
    <row r="20" spans="1:20" x14ac:dyDescent="0.2">
      <c r="A20" s="4"/>
      <c r="B20" s="99">
        <v>2020</v>
      </c>
      <c r="C20" s="184">
        <f>M25/1000</f>
        <v>0.15703654252916879</v>
      </c>
      <c r="D20" s="184">
        <f>M24/1000</f>
        <v>0.20032015501174549</v>
      </c>
      <c r="E20" s="184">
        <f>M26/1000</f>
        <v>0.11772482445202601</v>
      </c>
      <c r="F20" s="184">
        <f>M28/1000</f>
        <v>0.123904511372562</v>
      </c>
      <c r="G20" s="184">
        <f>M31/1000</f>
        <v>5.4035301093791508E-3</v>
      </c>
      <c r="H20" s="184">
        <f>M29/1000</f>
        <v>1.19989013290895E-2</v>
      </c>
      <c r="I20" s="228">
        <f>(M30+M32+M23)/1000</f>
        <v>8.6686230722619623E-3</v>
      </c>
      <c r="J20" s="182">
        <f t="shared" ref="J20:J26" si="2">SUM(C20:I20)</f>
        <v>0.62505708787623293</v>
      </c>
      <c r="K20" s="4"/>
      <c r="L20" s="169" t="s">
        <v>565</v>
      </c>
      <c r="T20" s="165"/>
    </row>
    <row r="21" spans="1:20" x14ac:dyDescent="0.2">
      <c r="A21" s="4"/>
      <c r="B21" s="99">
        <v>2025</v>
      </c>
      <c r="C21" s="184">
        <f>N25/1000</f>
        <v>0.1626928839381139</v>
      </c>
      <c r="D21" s="184">
        <f>N24/1000</f>
        <v>0.22195069033296888</v>
      </c>
      <c r="E21" s="184">
        <f>N26/1000</f>
        <v>0.12569817645257</v>
      </c>
      <c r="F21" s="184">
        <f>N28/1000</f>
        <v>0.12689984142869401</v>
      </c>
      <c r="G21" s="184">
        <f>N31/1000</f>
        <v>2.4882495004050997E-2</v>
      </c>
      <c r="H21" s="184">
        <f>N29/1000</f>
        <v>2.3414116905427801E-2</v>
      </c>
      <c r="I21" s="228">
        <f>(N23+N30+N32)/1000</f>
        <v>1.1639131584903423E-2</v>
      </c>
      <c r="J21" s="182">
        <f t="shared" si="2"/>
        <v>0.69717733564672901</v>
      </c>
      <c r="K21" s="4"/>
      <c r="L21" s="166" t="s">
        <v>544</v>
      </c>
      <c r="T21" s="165"/>
    </row>
    <row r="22" spans="1:20" ht="20" customHeight="1" thickBot="1" x14ac:dyDescent="0.25">
      <c r="A22" s="4"/>
      <c r="B22" s="99">
        <v>2030</v>
      </c>
      <c r="C22" s="184">
        <f>O25/1000</f>
        <v>0.1539925733904737</v>
      </c>
      <c r="D22" s="184">
        <f>O24/1000</f>
        <v>0.2255302119528928</v>
      </c>
      <c r="E22" s="184">
        <f>O26/1000</f>
        <v>0.14042780109357389</v>
      </c>
      <c r="F22" s="184">
        <f>O28/1000</f>
        <v>0.12876646245373299</v>
      </c>
      <c r="G22" s="184">
        <f>O31/1000</f>
        <v>4.1475382007410605E-2</v>
      </c>
      <c r="H22" s="184">
        <f>O29/1000</f>
        <v>3.4154796939869392E-2</v>
      </c>
      <c r="I22" s="228">
        <f>(O23+O30+O32)/1000</f>
        <v>7.0997809162284308E-3</v>
      </c>
      <c r="J22" s="182">
        <f t="shared" si="2"/>
        <v>0.73144700875418189</v>
      </c>
      <c r="K22" s="4"/>
      <c r="L22" s="160" t="s">
        <v>543</v>
      </c>
      <c r="M22" s="160">
        <v>2020</v>
      </c>
      <c r="N22" s="160">
        <v>2025</v>
      </c>
      <c r="O22" s="160">
        <v>2030</v>
      </c>
      <c r="P22" s="160">
        <v>2035</v>
      </c>
      <c r="Q22" s="160">
        <v>2040</v>
      </c>
      <c r="R22" s="160">
        <v>2045</v>
      </c>
      <c r="S22" s="160">
        <v>2050</v>
      </c>
      <c r="T22" s="159" t="s">
        <v>542</v>
      </c>
    </row>
    <row r="23" spans="1:20" ht="17" thickTop="1" x14ac:dyDescent="0.2">
      <c r="A23" s="4"/>
      <c r="B23" s="99">
        <v>2035</v>
      </c>
      <c r="C23" s="184">
        <f>P25/1000</f>
        <v>0.1607141575620597</v>
      </c>
      <c r="D23" s="184">
        <f>P24/1000</f>
        <v>0.22097385616832901</v>
      </c>
      <c r="E23" s="184">
        <f>P26/1000</f>
        <v>0.1461654609339649</v>
      </c>
      <c r="F23" s="184">
        <f>P28/1000</f>
        <v>0.12923359893775699</v>
      </c>
      <c r="G23" s="184">
        <f>P31/1000</f>
        <v>6.8164775914594994E-2</v>
      </c>
      <c r="H23" s="184">
        <f>P29/1000</f>
        <v>5.0327725773196781E-2</v>
      </c>
      <c r="I23" s="228">
        <f>(P23+P30+P32)/1000</f>
        <v>8.4396925417983774E-3</v>
      </c>
      <c r="J23" s="182">
        <f t="shared" si="2"/>
        <v>0.78401926783170073</v>
      </c>
      <c r="K23" s="4"/>
      <c r="L23" s="150" t="s">
        <v>541</v>
      </c>
      <c r="M23" s="150">
        <v>8.6686230722619619</v>
      </c>
      <c r="N23" s="150">
        <v>9.3822079908960152</v>
      </c>
      <c r="O23" s="150">
        <v>6.2460095816504344</v>
      </c>
      <c r="P23" s="150">
        <v>5.2859358686768658</v>
      </c>
      <c r="Q23" s="150">
        <v>5.5777461527055818</v>
      </c>
      <c r="R23" s="150">
        <v>5.874628869191965</v>
      </c>
      <c r="S23" s="150">
        <v>6.1766724660940504</v>
      </c>
      <c r="T23" s="149">
        <v>-1.1234096666262849</v>
      </c>
    </row>
    <row r="24" spans="1:20" x14ac:dyDescent="0.2">
      <c r="A24" s="4"/>
      <c r="B24" s="99">
        <v>2040</v>
      </c>
      <c r="C24" s="184">
        <f>Q25/1000</f>
        <v>0.1686890917883917</v>
      </c>
      <c r="D24" s="184">
        <f>Q24/1000</f>
        <v>0.21043529430332211</v>
      </c>
      <c r="E24" s="184">
        <f>Q26/1000</f>
        <v>0.1461654609339649</v>
      </c>
      <c r="F24" s="184">
        <f>Q28/1000</f>
        <v>0.12923359893775699</v>
      </c>
      <c r="G24" s="184">
        <f>Q31/1000</f>
        <v>9.7968370650705794E-2</v>
      </c>
      <c r="H24" s="184">
        <f>Q29/1000</f>
        <v>7.7422928550837697E-2</v>
      </c>
      <c r="I24" s="228">
        <f>(Q23+Q30+Q32)/1000</f>
        <v>9.0031528325358358E-3</v>
      </c>
      <c r="J24" s="182">
        <f t="shared" si="2"/>
        <v>0.83891789799751493</v>
      </c>
      <c r="K24" s="4"/>
      <c r="L24" s="150" t="s">
        <v>540</v>
      </c>
      <c r="M24" s="150">
        <v>200.3201550117455</v>
      </c>
      <c r="N24" s="150">
        <v>221.95069033296889</v>
      </c>
      <c r="O24" s="150">
        <v>225.53021195289281</v>
      </c>
      <c r="P24" s="150">
        <v>220.97385616832901</v>
      </c>
      <c r="Q24" s="150">
        <v>210.43529430332211</v>
      </c>
      <c r="R24" s="150">
        <v>207.69112751307051</v>
      </c>
      <c r="S24" s="150">
        <v>213.74985507036811</v>
      </c>
      <c r="T24" s="149">
        <v>0.21653265425669591</v>
      </c>
    </row>
    <row r="25" spans="1:20" x14ac:dyDescent="0.2">
      <c r="A25" s="4"/>
      <c r="B25" s="99">
        <v>2045</v>
      </c>
      <c r="C25" s="184">
        <f>R25/1000</f>
        <v>0.17680265140742468</v>
      </c>
      <c r="D25" s="184">
        <f>R24/1000</f>
        <v>0.20769112751307051</v>
      </c>
      <c r="E25" s="184">
        <f>R26/1000</f>
        <v>0.1461654609339649</v>
      </c>
      <c r="F25" s="184">
        <f>R28/1000</f>
        <v>0.12923359899158102</v>
      </c>
      <c r="G25" s="184">
        <f>R31/1000</f>
        <v>0.12339233214274399</v>
      </c>
      <c r="H25" s="184">
        <f>R29/1000</f>
        <v>0.104961368026517</v>
      </c>
      <c r="I25" s="228">
        <f>(R23+R30+R32)/1000</f>
        <v>9.5320399820078821E-3</v>
      </c>
      <c r="J25" s="182">
        <f t="shared" si="2"/>
        <v>0.89777857899731006</v>
      </c>
      <c r="K25" s="4"/>
      <c r="L25" s="150" t="s">
        <v>446</v>
      </c>
      <c r="M25" s="150">
        <v>157.0365425291688</v>
      </c>
      <c r="N25" s="150">
        <v>162.69288393811391</v>
      </c>
      <c r="O25" s="150">
        <v>153.99257339047369</v>
      </c>
      <c r="P25" s="150">
        <v>160.71415756205971</v>
      </c>
      <c r="Q25" s="150">
        <v>168.68909178839169</v>
      </c>
      <c r="R25" s="150">
        <v>176.80265140742469</v>
      </c>
      <c r="S25" s="150">
        <v>185.05725362885269</v>
      </c>
      <c r="T25" s="149">
        <v>0.54878943934766333</v>
      </c>
    </row>
    <row r="26" spans="1:20" x14ac:dyDescent="0.2">
      <c r="A26" s="4"/>
      <c r="B26" s="98">
        <v>2050</v>
      </c>
      <c r="C26" s="180">
        <f>S25/1000</f>
        <v>0.1850572536288527</v>
      </c>
      <c r="D26" s="180">
        <f>S24/1000</f>
        <v>0.21374985507036812</v>
      </c>
      <c r="E26" s="180">
        <f>S26/1000</f>
        <v>0.1559346129346309</v>
      </c>
      <c r="F26" s="180">
        <f>S28/1000</f>
        <v>0.12923359927324699</v>
      </c>
      <c r="G26" s="180">
        <f>S31/1000</f>
        <v>0.14675125800489</v>
      </c>
      <c r="H26" s="180">
        <f>S29/1000</f>
        <v>0.114751319016917</v>
      </c>
      <c r="I26" s="228">
        <f>(S23+S30+S32)/1000</f>
        <v>1.0067368713877792E-2</v>
      </c>
      <c r="J26" s="182">
        <f t="shared" si="2"/>
        <v>0.9555452666427835</v>
      </c>
      <c r="K26" s="4"/>
      <c r="L26" s="150" t="s">
        <v>454</v>
      </c>
      <c r="M26" s="150">
        <v>117.724824452026</v>
      </c>
      <c r="N26" s="150">
        <v>125.69817645257</v>
      </c>
      <c r="O26" s="150">
        <v>140.42780109357389</v>
      </c>
      <c r="P26" s="150">
        <v>146.16546093396491</v>
      </c>
      <c r="Q26" s="150">
        <v>146.16546093396491</v>
      </c>
      <c r="R26" s="150">
        <v>146.16546093396491</v>
      </c>
      <c r="S26" s="150">
        <v>155.93461293463091</v>
      </c>
      <c r="T26" s="149">
        <v>0.94135939790498391</v>
      </c>
    </row>
    <row r="27" spans="1:20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150" t="s">
        <v>539</v>
      </c>
      <c r="M27" s="150">
        <v>141.30694281103061</v>
      </c>
      <c r="N27" s="150">
        <v>177.45337693218019</v>
      </c>
      <c r="O27" s="150">
        <v>205.250412735591</v>
      </c>
      <c r="P27" s="150">
        <v>250.8798572986702</v>
      </c>
      <c r="Q27" s="150">
        <v>308.0503048191307</v>
      </c>
      <c r="R27" s="150">
        <v>361.24471027365792</v>
      </c>
      <c r="S27" s="150">
        <v>394.6268725428377</v>
      </c>
      <c r="T27" s="149">
        <v>3.4826254187261929</v>
      </c>
    </row>
    <row r="28" spans="1:20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150" t="s">
        <v>538</v>
      </c>
      <c r="M28" s="150">
        <v>123.904511372562</v>
      </c>
      <c r="N28" s="150">
        <v>126.899841428694</v>
      </c>
      <c r="O28" s="150">
        <v>128.766462453733</v>
      </c>
      <c r="P28" s="150">
        <v>129.23359893775699</v>
      </c>
      <c r="Q28" s="150">
        <v>129.23359893775699</v>
      </c>
      <c r="R28" s="150">
        <v>129.233598991581</v>
      </c>
      <c r="S28" s="150">
        <v>129.23359927324699</v>
      </c>
      <c r="T28" s="149">
        <v>0.14046661025981511</v>
      </c>
    </row>
    <row r="29" spans="1:20" ht="19" x14ac:dyDescent="0.2">
      <c r="A29" s="4"/>
      <c r="B29" s="331" t="s">
        <v>564</v>
      </c>
      <c r="C29" s="332"/>
      <c r="D29" s="332"/>
      <c r="E29" s="332"/>
      <c r="F29" s="332"/>
      <c r="G29" s="332"/>
      <c r="H29" s="332"/>
      <c r="I29" s="338"/>
      <c r="J29" s="4"/>
      <c r="K29" s="4"/>
      <c r="L29" s="150" t="s">
        <v>537</v>
      </c>
      <c r="M29" s="150">
        <v>11.998901329089501</v>
      </c>
      <c r="N29" s="150">
        <v>23.4141169054278</v>
      </c>
      <c r="O29" s="150">
        <v>34.154796939869392</v>
      </c>
      <c r="P29" s="150">
        <v>50.327725773196782</v>
      </c>
      <c r="Q29" s="150">
        <v>77.422928550837696</v>
      </c>
      <c r="R29" s="150">
        <v>104.96136802651699</v>
      </c>
      <c r="S29" s="150">
        <v>114.75131901691699</v>
      </c>
      <c r="T29" s="149">
        <v>7.8169909037641094</v>
      </c>
    </row>
    <row r="30" spans="1:20" x14ac:dyDescent="0.2">
      <c r="A30" s="4"/>
      <c r="B30" s="227" t="s">
        <v>270</v>
      </c>
      <c r="C30" s="80" t="s">
        <v>446</v>
      </c>
      <c r="D30" s="80" t="s">
        <v>444</v>
      </c>
      <c r="E30" s="80" t="s">
        <v>454</v>
      </c>
      <c r="F30" s="80" t="s">
        <v>521</v>
      </c>
      <c r="G30" s="80" t="s">
        <v>452</v>
      </c>
      <c r="H30" s="80" t="s">
        <v>450</v>
      </c>
      <c r="I30" s="79" t="s">
        <v>520</v>
      </c>
      <c r="J30" s="196"/>
      <c r="K30" s="4"/>
      <c r="L30" s="150" t="s">
        <v>536</v>
      </c>
      <c r="M30" s="150">
        <v>0</v>
      </c>
      <c r="N30" s="150">
        <v>0.29124319839915791</v>
      </c>
      <c r="O30" s="150">
        <v>0.4717999264413788</v>
      </c>
      <c r="P30" s="150">
        <v>0.68636652839184276</v>
      </c>
      <c r="Q30" s="150">
        <v>0.73381933894229567</v>
      </c>
      <c r="R30" s="150">
        <v>0.73381933894229567</v>
      </c>
      <c r="S30" s="150">
        <v>0.73381933894229567</v>
      </c>
      <c r="T30" s="149" t="s">
        <v>16</v>
      </c>
    </row>
    <row r="31" spans="1:20" x14ac:dyDescent="0.2">
      <c r="A31" s="4"/>
      <c r="B31" s="189"/>
      <c r="C31" s="175"/>
      <c r="D31" s="175"/>
      <c r="E31" s="175"/>
      <c r="F31" s="175"/>
      <c r="G31" s="175"/>
      <c r="H31" s="175"/>
      <c r="I31" s="174"/>
      <c r="J31" s="8"/>
      <c r="K31" s="4"/>
      <c r="L31" s="150" t="s">
        <v>535</v>
      </c>
      <c r="M31" s="150">
        <v>5.403530109379151</v>
      </c>
      <c r="N31" s="150">
        <v>24.882495004050998</v>
      </c>
      <c r="O31" s="150">
        <v>41.475382007410602</v>
      </c>
      <c r="P31" s="150">
        <v>68.164775914594998</v>
      </c>
      <c r="Q31" s="150">
        <v>97.968370650705793</v>
      </c>
      <c r="R31" s="150">
        <v>123.392332142744</v>
      </c>
      <c r="S31" s="150">
        <v>146.75125800488999</v>
      </c>
      <c r="T31" s="149">
        <v>11.63408281541798</v>
      </c>
    </row>
    <row r="32" spans="1:20" x14ac:dyDescent="0.2">
      <c r="A32" s="4"/>
      <c r="B32" s="99">
        <v>2020</v>
      </c>
      <c r="C32" s="171">
        <f t="shared" ref="C32:C38" si="3">C20/J20</f>
        <v>0.2512355200430324</v>
      </c>
      <c r="D32" s="171">
        <f t="shared" ref="D32:D38" si="4">D20/J20</f>
        <v>0.32048297491094241</v>
      </c>
      <c r="E32" s="171">
        <f t="shared" ref="E32:E38" si="5">E20/J20</f>
        <v>0.18834251580447098</v>
      </c>
      <c r="F32" s="171">
        <f t="shared" ref="F32:F38" si="6">F20/J20</f>
        <v>0.19822911182969616</v>
      </c>
      <c r="G32" s="171">
        <f t="shared" ref="G32:G38" si="7">G20/J20</f>
        <v>8.6448585484228593E-3</v>
      </c>
      <c r="H32" s="171">
        <f t="shared" ref="H32:H38" si="8">H20/J20</f>
        <v>1.9196488707708875E-2</v>
      </c>
      <c r="I32" s="170">
        <f t="shared" ref="I32:I38" si="9">I20/J20</f>
        <v>1.386853015572624E-2</v>
      </c>
      <c r="J32" s="4"/>
      <c r="K32" s="4"/>
      <c r="L32" s="150" t="s">
        <v>534</v>
      </c>
      <c r="M32" s="150">
        <v>0</v>
      </c>
      <c r="N32" s="150">
        <v>1.9656803956082489</v>
      </c>
      <c r="O32" s="150">
        <v>0.3819714081366179</v>
      </c>
      <c r="P32" s="150">
        <v>2.4673901447296691</v>
      </c>
      <c r="Q32" s="150">
        <v>2.691587340887958</v>
      </c>
      <c r="R32" s="150">
        <v>2.9235917738736208</v>
      </c>
      <c r="S32" s="150">
        <v>3.1568769088414461</v>
      </c>
      <c r="T32" s="149" t="s">
        <v>16</v>
      </c>
    </row>
    <row r="33" spans="1:21" ht="17" thickBot="1" x14ac:dyDescent="0.25">
      <c r="A33" s="4"/>
      <c r="B33" s="99">
        <v>2025</v>
      </c>
      <c r="C33" s="171">
        <f t="shared" si="3"/>
        <v>0.23335939884963933</v>
      </c>
      <c r="D33" s="171">
        <f t="shared" si="4"/>
        <v>0.31835614697238934</v>
      </c>
      <c r="E33" s="171">
        <f t="shared" si="5"/>
        <v>0.18029584443672061</v>
      </c>
      <c r="F33" s="171">
        <f t="shared" si="6"/>
        <v>0.18201945895297464</v>
      </c>
      <c r="G33" s="171">
        <f t="shared" si="7"/>
        <v>3.5690338356982043E-2</v>
      </c>
      <c r="H33" s="171">
        <f t="shared" si="8"/>
        <v>3.3584162462349625E-2</v>
      </c>
      <c r="I33" s="170">
        <f t="shared" si="9"/>
        <v>1.6694649968944427E-2</v>
      </c>
      <c r="J33" s="4"/>
      <c r="K33" s="4"/>
      <c r="L33" s="150" t="s">
        <v>533</v>
      </c>
      <c r="M33" s="150">
        <v>625.0570878762328</v>
      </c>
      <c r="N33" s="150">
        <v>697.17733564672903</v>
      </c>
      <c r="O33" s="150">
        <v>731.44700875418187</v>
      </c>
      <c r="P33" s="150">
        <v>784.01926783170074</v>
      </c>
      <c r="Q33" s="150">
        <v>838.91789799751484</v>
      </c>
      <c r="R33" s="150">
        <v>897.77857899730986</v>
      </c>
      <c r="S33" s="150">
        <v>955.54526664278319</v>
      </c>
      <c r="T33" s="149">
        <v>1.424852792135312</v>
      </c>
    </row>
    <row r="34" spans="1:21" ht="17" customHeight="1" thickBot="1" x14ac:dyDescent="0.25">
      <c r="A34" s="4"/>
      <c r="B34" s="99">
        <v>2030</v>
      </c>
      <c r="C34" s="171">
        <f t="shared" si="3"/>
        <v>0.21053141450774068</v>
      </c>
      <c r="D34" s="171">
        <f t="shared" si="4"/>
        <v>0.30833431438460768</v>
      </c>
      <c r="E34" s="171">
        <f t="shared" si="5"/>
        <v>0.19198629485511726</v>
      </c>
      <c r="F34" s="171">
        <f t="shared" si="6"/>
        <v>0.17604346030897183</v>
      </c>
      <c r="G34" s="171">
        <f t="shared" si="7"/>
        <v>5.6703194504893077E-2</v>
      </c>
      <c r="H34" s="171">
        <f t="shared" si="8"/>
        <v>4.6694834391410887E-2</v>
      </c>
      <c r="I34" s="170">
        <f t="shared" si="9"/>
        <v>9.7064870472584851E-3</v>
      </c>
      <c r="J34" s="4"/>
      <c r="K34" s="4"/>
      <c r="L34" s="146" t="s">
        <v>532</v>
      </c>
      <c r="M34" s="146"/>
      <c r="N34" s="146"/>
      <c r="O34" s="146"/>
      <c r="P34" s="146"/>
      <c r="Q34" s="146"/>
      <c r="R34" s="146"/>
      <c r="S34" s="146"/>
      <c r="T34" s="146"/>
    </row>
    <row r="35" spans="1:21" ht="17" thickBot="1" x14ac:dyDescent="0.25">
      <c r="A35" s="4"/>
      <c r="B35" s="99">
        <v>2035</v>
      </c>
      <c r="C35" s="171">
        <f t="shared" si="3"/>
        <v>0.20498751007297814</v>
      </c>
      <c r="D35" s="171">
        <f t="shared" si="4"/>
        <v>0.2818474816052145</v>
      </c>
      <c r="E35" s="171">
        <f t="shared" si="5"/>
        <v>0.18643095511951258</v>
      </c>
      <c r="F35" s="171">
        <f t="shared" si="6"/>
        <v>0.16483472312506808</v>
      </c>
      <c r="G35" s="171">
        <f t="shared" si="7"/>
        <v>8.6942730505989801E-2</v>
      </c>
      <c r="H35" s="171">
        <f t="shared" si="8"/>
        <v>6.4191950170286172E-2</v>
      </c>
      <c r="I35" s="170">
        <f t="shared" si="9"/>
        <v>1.0764649400950769E-2</v>
      </c>
      <c r="J35" s="4"/>
      <c r="K35" s="4"/>
      <c r="L35" s="146"/>
      <c r="M35" s="146"/>
      <c r="N35" s="146"/>
      <c r="O35" s="146"/>
      <c r="P35" s="146"/>
      <c r="Q35" s="146"/>
      <c r="R35" s="146"/>
      <c r="S35" s="146"/>
      <c r="T35" s="146"/>
    </row>
    <row r="36" spans="1:21" ht="17" thickBot="1" x14ac:dyDescent="0.25">
      <c r="A36" s="4"/>
      <c r="B36" s="99">
        <v>2040</v>
      </c>
      <c r="C36" s="171">
        <f t="shared" si="3"/>
        <v>0.20107938117788421</v>
      </c>
      <c r="D36" s="171">
        <f t="shared" si="4"/>
        <v>0.25084134550666776</v>
      </c>
      <c r="E36" s="171">
        <f t="shared" si="5"/>
        <v>0.17423094832385835</v>
      </c>
      <c r="F36" s="171">
        <f t="shared" si="6"/>
        <v>0.15404796970744783</v>
      </c>
      <c r="G36" s="171">
        <f t="shared" si="7"/>
        <v>0.11677944991345983</v>
      </c>
      <c r="H36" s="171">
        <f t="shared" si="8"/>
        <v>9.2289041318161319E-2</v>
      </c>
      <c r="I36" s="170">
        <f t="shared" si="9"/>
        <v>1.0731864052520792E-2</v>
      </c>
      <c r="J36" s="4"/>
      <c r="K36" s="4"/>
      <c r="L36" s="146"/>
      <c r="M36" s="146"/>
      <c r="N36" s="146"/>
      <c r="O36" s="146"/>
      <c r="P36" s="146"/>
      <c r="Q36" s="146"/>
      <c r="R36" s="146"/>
      <c r="S36" s="146"/>
      <c r="T36" s="146"/>
    </row>
    <row r="37" spans="1:21" ht="17" thickBot="1" x14ac:dyDescent="0.25">
      <c r="A37" s="4"/>
      <c r="B37" s="99">
        <v>2045</v>
      </c>
      <c r="C37" s="171">
        <f t="shared" si="3"/>
        <v>0.19693347061687291</v>
      </c>
      <c r="D37" s="171">
        <f t="shared" si="4"/>
        <v>0.23133892072255913</v>
      </c>
      <c r="E37" s="171">
        <f t="shared" si="5"/>
        <v>0.1628079176239767</v>
      </c>
      <c r="F37" s="171">
        <f t="shared" si="6"/>
        <v>0.14394818724224454</v>
      </c>
      <c r="G37" s="171">
        <f t="shared" si="7"/>
        <v>0.13744183145977434</v>
      </c>
      <c r="H37" s="171">
        <f t="shared" si="8"/>
        <v>0.11691231054292228</v>
      </c>
      <c r="I37" s="170">
        <f t="shared" si="9"/>
        <v>1.0617361791650012E-2</v>
      </c>
      <c r="J37" s="4"/>
      <c r="K37" s="4"/>
      <c r="L37" s="146"/>
      <c r="M37" s="146"/>
      <c r="N37" s="146"/>
      <c r="O37" s="146"/>
      <c r="P37" s="146"/>
      <c r="Q37" s="146"/>
      <c r="R37" s="146"/>
      <c r="S37" s="146"/>
      <c r="T37" s="146"/>
    </row>
    <row r="38" spans="1:21" ht="17" thickBot="1" x14ac:dyDescent="0.25">
      <c r="A38" s="4"/>
      <c r="B38" s="98">
        <v>2050</v>
      </c>
      <c r="C38" s="171">
        <f t="shared" si="3"/>
        <v>0.19366665305039246</v>
      </c>
      <c r="D38" s="171">
        <f t="shared" si="4"/>
        <v>0.22369411741356607</v>
      </c>
      <c r="E38" s="171">
        <f t="shared" si="5"/>
        <v>0.1631891427629506</v>
      </c>
      <c r="F38" s="171">
        <f t="shared" si="6"/>
        <v>0.13524592061169097</v>
      </c>
      <c r="G38" s="171">
        <f t="shared" si="7"/>
        <v>0.15357855156405772</v>
      </c>
      <c r="H38" s="171">
        <f t="shared" si="8"/>
        <v>0.12008988273269851</v>
      </c>
      <c r="I38" s="170">
        <f t="shared" si="9"/>
        <v>1.0535731864643655E-2</v>
      </c>
      <c r="J38" s="4"/>
      <c r="K38" s="4"/>
      <c r="L38" s="146"/>
      <c r="M38" s="146"/>
      <c r="N38" s="146"/>
      <c r="O38" s="146"/>
      <c r="P38" s="146"/>
      <c r="Q38" s="146"/>
      <c r="R38" s="146"/>
      <c r="S38" s="146"/>
      <c r="T38" s="146"/>
    </row>
    <row r="39" spans="1:21" ht="17" thickBot="1" x14ac:dyDescent="0.25">
      <c r="A39" s="4"/>
      <c r="B39" s="226"/>
      <c r="C39" s="225"/>
      <c r="D39" s="225"/>
      <c r="E39" s="225"/>
      <c r="F39" s="225"/>
      <c r="G39" s="225"/>
      <c r="H39" s="225"/>
      <c r="I39" s="224"/>
      <c r="J39" s="4"/>
      <c r="K39" s="4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1:21" ht="17" thickBo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146"/>
      <c r="M40" s="146"/>
      <c r="N40" s="146"/>
      <c r="O40" s="146"/>
      <c r="P40" s="146"/>
      <c r="Q40" s="146"/>
      <c r="R40" s="146"/>
      <c r="S40" s="146"/>
      <c r="T40" s="146"/>
    </row>
    <row r="41" spans="1:21" ht="17" thickBo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146"/>
      <c r="M41" s="146"/>
      <c r="N41" s="146"/>
      <c r="O41" s="146"/>
      <c r="P41" s="146"/>
      <c r="Q41" s="146"/>
      <c r="R41" s="146"/>
      <c r="S41" s="146"/>
      <c r="T41" s="146"/>
    </row>
    <row r="42" spans="1:21" ht="20" thickBot="1" x14ac:dyDescent="0.25">
      <c r="A42" s="4"/>
      <c r="B42" s="331" t="s">
        <v>563</v>
      </c>
      <c r="C42" s="332"/>
      <c r="D42" s="332"/>
      <c r="E42" s="332"/>
      <c r="F42" s="332"/>
      <c r="G42" s="332"/>
      <c r="H42" s="332"/>
      <c r="I42" s="338"/>
      <c r="J42" s="334" t="s">
        <v>548</v>
      </c>
      <c r="K42" s="335" t="s">
        <v>547</v>
      </c>
      <c r="L42" s="336" t="s">
        <v>546</v>
      </c>
      <c r="M42" s="146"/>
      <c r="N42" s="146"/>
      <c r="O42" s="146"/>
      <c r="P42" s="146"/>
      <c r="Q42" s="146"/>
      <c r="R42" s="146"/>
      <c r="S42" s="146"/>
      <c r="T42" s="146"/>
      <c r="U42" s="146"/>
    </row>
    <row r="43" spans="1:21" ht="17" thickBot="1" x14ac:dyDescent="0.25">
      <c r="A43" s="4"/>
      <c r="B43" s="227" t="s">
        <v>270</v>
      </c>
      <c r="C43" s="80" t="s">
        <v>446</v>
      </c>
      <c r="D43" s="80" t="s">
        <v>444</v>
      </c>
      <c r="E43" s="80" t="s">
        <v>454</v>
      </c>
      <c r="F43" s="80" t="s">
        <v>521</v>
      </c>
      <c r="G43" s="80" t="s">
        <v>452</v>
      </c>
      <c r="H43" s="80" t="s">
        <v>450</v>
      </c>
      <c r="I43" s="79" t="s">
        <v>520</v>
      </c>
      <c r="J43" s="334"/>
      <c r="K43" s="335"/>
      <c r="L43" s="336"/>
      <c r="M43" s="146"/>
      <c r="N43" s="146"/>
      <c r="O43" s="146"/>
      <c r="P43" s="146"/>
      <c r="Q43" s="146"/>
      <c r="R43" s="146"/>
      <c r="S43" s="146"/>
      <c r="T43" s="146"/>
      <c r="U43" s="146"/>
    </row>
    <row r="44" spans="1:21" x14ac:dyDescent="0.2">
      <c r="A44" s="4"/>
      <c r="B44" s="189"/>
      <c r="C44" s="158">
        <f t="shared" ref="C44:C51" si="10">C31*$J$8</f>
        <v>0</v>
      </c>
      <c r="D44" s="158">
        <f t="shared" ref="D44:D51" si="11">D31*$J$9</f>
        <v>0</v>
      </c>
      <c r="E44" s="158">
        <f t="shared" ref="E44:E51" si="12">E31*$J$4</f>
        <v>0</v>
      </c>
      <c r="F44" s="158">
        <f t="shared" ref="F44:F51" si="13">F31*$J$7</f>
        <v>0</v>
      </c>
      <c r="G44" s="158">
        <f t="shared" ref="G44:G51" si="14">G31*$J$5</f>
        <v>0</v>
      </c>
      <c r="H44" s="158">
        <f t="shared" ref="H44:H51" si="15">H31*$J$6</f>
        <v>0</v>
      </c>
      <c r="I44" s="220">
        <f>I31*$J$11</f>
        <v>0</v>
      </c>
      <c r="J44" s="155"/>
      <c r="K44" s="155"/>
      <c r="L44" s="151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1:21" x14ac:dyDescent="0.2">
      <c r="A45" s="4"/>
      <c r="B45" s="99">
        <v>2020</v>
      </c>
      <c r="C45" s="158">
        <f t="shared" si="10"/>
        <v>251.48675556307543</v>
      </c>
      <c r="D45" s="158">
        <f t="shared" si="11"/>
        <v>150.30651523323198</v>
      </c>
      <c r="E45" s="158">
        <f t="shared" si="12"/>
        <v>3.0134802528715356</v>
      </c>
      <c r="F45" s="158">
        <f t="shared" si="13"/>
        <v>0.79291644731878463</v>
      </c>
      <c r="G45" s="158">
        <f t="shared" si="14"/>
        <v>0.30257004919480007</v>
      </c>
      <c r="H45" s="158">
        <f t="shared" si="15"/>
        <v>0.2303578644925065</v>
      </c>
      <c r="I45" s="219">
        <f t="shared" ref="I45:I51" si="16">I32*$J$10</f>
        <v>0.24963354280307232</v>
      </c>
      <c r="J45" s="155">
        <f t="shared" ref="J45:J51" si="17">SUM(C45:I45)</f>
        <v>406.3822289529881</v>
      </c>
      <c r="K45" s="155">
        <f>$J$8-J45</f>
        <v>594.61777104701196</v>
      </c>
      <c r="L45" s="155">
        <f t="shared" ref="L45:L51" si="18">K45/1011</f>
        <v>0.58814814149061523</v>
      </c>
    </row>
    <row r="46" spans="1:21" x14ac:dyDescent="0.2">
      <c r="A46" s="4"/>
      <c r="B46" s="99">
        <v>2025</v>
      </c>
      <c r="C46" s="158">
        <f t="shared" si="10"/>
        <v>233.59275824848896</v>
      </c>
      <c r="D46" s="158">
        <f t="shared" si="11"/>
        <v>149.30903293005059</v>
      </c>
      <c r="E46" s="158">
        <f t="shared" si="12"/>
        <v>2.8847335109875298</v>
      </c>
      <c r="F46" s="158">
        <f t="shared" si="13"/>
        <v>0.72807783581189855</v>
      </c>
      <c r="G46" s="158">
        <f t="shared" si="14"/>
        <v>1.2491618424943716</v>
      </c>
      <c r="H46" s="158">
        <f t="shared" si="15"/>
        <v>0.40300994954819547</v>
      </c>
      <c r="I46" s="219">
        <f t="shared" si="16"/>
        <v>0.30050369944099969</v>
      </c>
      <c r="J46" s="155">
        <f t="shared" si="17"/>
        <v>388.46727801682255</v>
      </c>
      <c r="K46" s="155">
        <f t="shared" ref="K46:K51" si="19">$J$8-J46</f>
        <v>612.53272198317745</v>
      </c>
      <c r="L46" s="155">
        <f t="shared" si="18"/>
        <v>0.6058681720901854</v>
      </c>
    </row>
    <row r="47" spans="1:21" x14ac:dyDescent="0.2">
      <c r="A47" s="4"/>
      <c r="B47" s="99">
        <v>2030</v>
      </c>
      <c r="C47" s="158">
        <f t="shared" si="10"/>
        <v>210.74194592224842</v>
      </c>
      <c r="D47" s="158">
        <f t="shared" si="11"/>
        <v>144.60879344638101</v>
      </c>
      <c r="E47" s="158">
        <f t="shared" si="12"/>
        <v>3.0717807176818761</v>
      </c>
      <c r="F47" s="158">
        <f t="shared" si="13"/>
        <v>0.70417384123588733</v>
      </c>
      <c r="G47" s="158">
        <f t="shared" si="14"/>
        <v>1.9846118076712578</v>
      </c>
      <c r="H47" s="158">
        <f t="shared" si="15"/>
        <v>0.56033801269693062</v>
      </c>
      <c r="I47" s="219">
        <f t="shared" si="16"/>
        <v>0.17471676685065274</v>
      </c>
      <c r="J47" s="155">
        <f t="shared" si="17"/>
        <v>361.8463605147661</v>
      </c>
      <c r="K47" s="155">
        <f t="shared" si="19"/>
        <v>639.15363948523395</v>
      </c>
      <c r="L47" s="155">
        <f t="shared" si="18"/>
        <v>0.63219944558381203</v>
      </c>
    </row>
    <row r="48" spans="1:21" x14ac:dyDescent="0.2">
      <c r="A48" s="4"/>
      <c r="B48" s="99">
        <v>2035</v>
      </c>
      <c r="C48" s="158">
        <f t="shared" si="10"/>
        <v>205.19249758305111</v>
      </c>
      <c r="D48" s="158">
        <f t="shared" si="11"/>
        <v>132.18646887284561</v>
      </c>
      <c r="E48" s="158">
        <f t="shared" si="12"/>
        <v>2.9828952819122012</v>
      </c>
      <c r="F48" s="158">
        <f t="shared" si="13"/>
        <v>0.65933889250027233</v>
      </c>
      <c r="G48" s="158">
        <f t="shared" si="14"/>
        <v>3.0429955677096432</v>
      </c>
      <c r="H48" s="158">
        <f t="shared" si="15"/>
        <v>0.77030340204343406</v>
      </c>
      <c r="I48" s="219">
        <f t="shared" si="16"/>
        <v>0.19376368921711384</v>
      </c>
      <c r="J48" s="155">
        <f t="shared" si="17"/>
        <v>345.02826328927938</v>
      </c>
      <c r="K48" s="155">
        <f t="shared" si="19"/>
        <v>655.97173671072062</v>
      </c>
      <c r="L48" s="155">
        <f t="shared" si="18"/>
        <v>0.64883455658824984</v>
      </c>
    </row>
    <row r="49" spans="1:12" x14ac:dyDescent="0.2">
      <c r="A49" s="4"/>
      <c r="B49" s="99">
        <v>2040</v>
      </c>
      <c r="C49" s="158">
        <f t="shared" si="10"/>
        <v>201.28046055906211</v>
      </c>
      <c r="D49" s="158">
        <f t="shared" si="11"/>
        <v>117.64459104262718</v>
      </c>
      <c r="E49" s="158">
        <f t="shared" si="12"/>
        <v>2.7876951731817337</v>
      </c>
      <c r="F49" s="158">
        <f t="shared" si="13"/>
        <v>0.61619187882979132</v>
      </c>
      <c r="G49" s="158">
        <f t="shared" si="14"/>
        <v>4.0872807469710937</v>
      </c>
      <c r="H49" s="158">
        <f t="shared" si="15"/>
        <v>1.1074684958179359</v>
      </c>
      <c r="I49" s="219">
        <f t="shared" si="16"/>
        <v>0.19317355294537425</v>
      </c>
      <c r="J49" s="155">
        <f t="shared" si="17"/>
        <v>327.71686144943527</v>
      </c>
      <c r="K49" s="155">
        <f t="shared" si="19"/>
        <v>673.28313855056467</v>
      </c>
      <c r="L49" s="155">
        <f t="shared" si="18"/>
        <v>0.66595760489670097</v>
      </c>
    </row>
    <row r="50" spans="1:12" x14ac:dyDescent="0.2">
      <c r="A50" s="4"/>
      <c r="B50" s="99">
        <v>2045</v>
      </c>
      <c r="C50" s="158">
        <f t="shared" si="10"/>
        <v>197.13040408748978</v>
      </c>
      <c r="D50" s="158">
        <f t="shared" si="11"/>
        <v>108.49795381888023</v>
      </c>
      <c r="E50" s="158">
        <f t="shared" si="12"/>
        <v>2.6049266819836272</v>
      </c>
      <c r="F50" s="158">
        <f t="shared" si="13"/>
        <v>0.57579274896897814</v>
      </c>
      <c r="G50" s="158">
        <f t="shared" si="14"/>
        <v>4.8104641010921023</v>
      </c>
      <c r="H50" s="158">
        <f t="shared" si="15"/>
        <v>1.4029477265150674</v>
      </c>
      <c r="I50" s="219">
        <f t="shared" si="16"/>
        <v>0.19111251224970022</v>
      </c>
      <c r="J50" s="155">
        <f t="shared" si="17"/>
        <v>315.2136016771795</v>
      </c>
      <c r="K50" s="155">
        <f t="shared" si="19"/>
        <v>685.78639832282056</v>
      </c>
      <c r="L50" s="155">
        <f t="shared" si="18"/>
        <v>0.67832482524512416</v>
      </c>
    </row>
    <row r="51" spans="1:12" x14ac:dyDescent="0.2">
      <c r="A51" s="4"/>
      <c r="B51" s="98">
        <v>2050</v>
      </c>
      <c r="C51" s="158">
        <f t="shared" si="10"/>
        <v>193.86031970344285</v>
      </c>
      <c r="D51" s="158">
        <f t="shared" si="11"/>
        <v>104.91254106696249</v>
      </c>
      <c r="E51" s="158">
        <f t="shared" si="12"/>
        <v>2.6110262842072096</v>
      </c>
      <c r="F51" s="158">
        <f t="shared" si="13"/>
        <v>0.54098368244676387</v>
      </c>
      <c r="G51" s="158">
        <f t="shared" si="14"/>
        <v>5.3752493047420202</v>
      </c>
      <c r="H51" s="158">
        <f t="shared" si="15"/>
        <v>1.4410785927923822</v>
      </c>
      <c r="I51" s="219">
        <f t="shared" si="16"/>
        <v>0.18964317356358579</v>
      </c>
      <c r="J51" s="155">
        <f t="shared" si="17"/>
        <v>308.93084180815731</v>
      </c>
      <c r="K51" s="155">
        <f t="shared" si="19"/>
        <v>692.06915819184269</v>
      </c>
      <c r="L51" s="155">
        <f t="shared" si="18"/>
        <v>0.68453922669816292</v>
      </c>
    </row>
    <row r="52" spans="1:12" x14ac:dyDescent="0.2">
      <c r="A52" s="4"/>
      <c r="B52" s="226"/>
      <c r="C52" s="225"/>
      <c r="D52" s="225"/>
      <c r="E52" s="225"/>
      <c r="F52" s="225"/>
      <c r="G52" s="225"/>
      <c r="H52" s="225"/>
      <c r="I52" s="224"/>
      <c r="J52" s="151"/>
      <c r="K52" s="151"/>
      <c r="L52" s="151"/>
    </row>
    <row r="53" spans="1:12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1:12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2" ht="19" x14ac:dyDescent="0.2">
      <c r="A55" s="4"/>
      <c r="B55" s="330"/>
      <c r="C55" s="330"/>
      <c r="D55" s="330"/>
      <c r="E55" s="330"/>
      <c r="F55" s="330"/>
      <c r="G55" s="330"/>
      <c r="H55" s="330"/>
      <c r="I55" s="330"/>
      <c r="J55" s="4"/>
      <c r="K55" s="4"/>
    </row>
    <row r="56" spans="1:12" x14ac:dyDescent="0.2">
      <c r="A56" s="4"/>
      <c r="B56" s="147"/>
      <c r="C56" s="147"/>
      <c r="D56" s="147"/>
      <c r="E56" s="147"/>
      <c r="F56" s="147"/>
      <c r="G56" s="147"/>
      <c r="H56" s="147"/>
      <c r="I56" s="147"/>
      <c r="J56" s="4"/>
      <c r="K56" s="4"/>
    </row>
    <row r="57" spans="1:12" x14ac:dyDescent="0.2">
      <c r="A57" s="4"/>
      <c r="B57" s="218"/>
      <c r="C57" s="145"/>
      <c r="D57" s="145"/>
      <c r="E57" s="145"/>
      <c r="F57" s="145"/>
      <c r="G57" s="145"/>
      <c r="H57" s="145"/>
      <c r="I57" s="145"/>
      <c r="J57" s="223"/>
      <c r="K57" s="4"/>
    </row>
    <row r="58" spans="1:12" x14ac:dyDescent="0.2">
      <c r="A58" s="4"/>
      <c r="B58" s="218"/>
      <c r="C58" s="145"/>
      <c r="D58" s="145"/>
      <c r="E58" s="145"/>
      <c r="F58" s="145"/>
      <c r="G58" s="145"/>
      <c r="H58" s="145"/>
      <c r="I58" s="145"/>
      <c r="J58" s="223"/>
      <c r="K58" s="4"/>
    </row>
    <row r="59" spans="1:12" x14ac:dyDescent="0.2">
      <c r="A59" s="4"/>
      <c r="B59" s="218"/>
      <c r="C59" s="145"/>
      <c r="D59" s="145"/>
      <c r="E59" s="145"/>
      <c r="F59" s="145"/>
      <c r="G59" s="145"/>
      <c r="H59" s="145"/>
      <c r="I59" s="145"/>
      <c r="J59" s="223"/>
      <c r="K59" s="4"/>
    </row>
    <row r="60" spans="1:12" x14ac:dyDescent="0.2">
      <c r="A60" s="4"/>
      <c r="B60" s="218"/>
      <c r="C60" s="145"/>
      <c r="D60" s="145"/>
      <c r="E60" s="145"/>
      <c r="F60" s="145"/>
      <c r="G60" s="145"/>
      <c r="H60" s="145"/>
      <c r="I60" s="145"/>
      <c r="J60" s="223"/>
      <c r="K60" s="4"/>
    </row>
    <row r="61" spans="1:12" x14ac:dyDescent="0.2">
      <c r="A61" s="4"/>
      <c r="B61" s="218"/>
      <c r="C61" s="145"/>
      <c r="D61" s="145"/>
      <c r="E61" s="145"/>
      <c r="F61" s="145"/>
      <c r="G61" s="145"/>
      <c r="H61" s="145"/>
      <c r="I61" s="145"/>
      <c r="J61" s="223"/>
      <c r="K61" s="4"/>
    </row>
    <row r="62" spans="1:12" x14ac:dyDescent="0.2">
      <c r="A62" s="4"/>
      <c r="B62" s="222"/>
      <c r="C62" s="222"/>
      <c r="D62" s="222"/>
      <c r="E62" s="222"/>
      <c r="F62" s="222"/>
      <c r="G62" s="222"/>
      <c r="H62" s="222"/>
      <c r="I62" s="222"/>
      <c r="J62" s="4"/>
      <c r="K62" s="4"/>
    </row>
    <row r="63" spans="1:12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1:12" x14ac:dyDescent="0.2"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2:11" ht="19" x14ac:dyDescent="0.2">
      <c r="B65" s="330"/>
      <c r="C65" s="330"/>
      <c r="D65" s="330"/>
      <c r="E65" s="330"/>
      <c r="F65" s="330"/>
      <c r="G65" s="330"/>
      <c r="H65" s="330"/>
      <c r="I65" s="330"/>
      <c r="J65" s="218"/>
      <c r="K65" s="4"/>
    </row>
    <row r="66" spans="2:11" x14ac:dyDescent="0.2">
      <c r="B66" s="147"/>
      <c r="C66" s="147"/>
      <c r="D66" s="147"/>
      <c r="E66" s="147"/>
      <c r="F66" s="147"/>
      <c r="G66" s="147"/>
      <c r="H66" s="147"/>
      <c r="I66" s="147"/>
      <c r="J66" s="218"/>
      <c r="K66" s="4"/>
    </row>
    <row r="67" spans="2:11" x14ac:dyDescent="0.2">
      <c r="B67" s="218"/>
      <c r="C67" s="145"/>
      <c r="D67" s="145"/>
      <c r="E67" s="145"/>
      <c r="F67" s="145"/>
      <c r="G67" s="145"/>
      <c r="H67" s="145"/>
      <c r="I67" s="145"/>
      <c r="J67" s="145"/>
      <c r="K67" s="4"/>
    </row>
    <row r="68" spans="2:11" x14ac:dyDescent="0.2">
      <c r="B68" s="218"/>
      <c r="C68" s="145"/>
      <c r="D68" s="145"/>
      <c r="E68" s="145"/>
      <c r="F68" s="145"/>
      <c r="G68" s="145"/>
      <c r="H68" s="145"/>
      <c r="I68" s="145"/>
      <c r="J68" s="145"/>
      <c r="K68" s="4"/>
    </row>
    <row r="69" spans="2:11" x14ac:dyDescent="0.2">
      <c r="B69" s="218"/>
      <c r="C69" s="145"/>
      <c r="D69" s="145"/>
      <c r="E69" s="145"/>
      <c r="F69" s="145"/>
      <c r="G69" s="145"/>
      <c r="H69" s="145"/>
      <c r="I69" s="145"/>
      <c r="J69" s="145"/>
      <c r="K69" s="4"/>
    </row>
    <row r="70" spans="2:11" x14ac:dyDescent="0.2">
      <c r="B70" s="218"/>
      <c r="C70" s="145"/>
      <c r="D70" s="145"/>
      <c r="E70" s="145"/>
      <c r="F70" s="145"/>
      <c r="G70" s="145"/>
      <c r="H70" s="145"/>
      <c r="I70" s="145"/>
      <c r="J70" s="145"/>
    </row>
    <row r="71" spans="2:11" x14ac:dyDescent="0.2">
      <c r="B71" s="218"/>
      <c r="C71" s="145"/>
      <c r="D71" s="145"/>
      <c r="E71" s="145"/>
      <c r="F71" s="145"/>
      <c r="G71" s="145"/>
      <c r="H71" s="145"/>
      <c r="I71" s="145"/>
      <c r="J71" s="145"/>
    </row>
    <row r="72" spans="2:11" x14ac:dyDescent="0.2">
      <c r="B72" s="222"/>
      <c r="C72" s="222"/>
      <c r="D72" s="222"/>
      <c r="E72" s="222"/>
      <c r="F72" s="222"/>
      <c r="G72" s="222"/>
      <c r="H72" s="222"/>
      <c r="I72" s="222"/>
      <c r="J72" s="218"/>
    </row>
  </sheetData>
  <mergeCells count="9">
    <mergeCell ref="J42:J43"/>
    <mergeCell ref="K42:K43"/>
    <mergeCell ref="L42:L43"/>
    <mergeCell ref="B2:I2"/>
    <mergeCell ref="B65:I65"/>
    <mergeCell ref="B17:I17"/>
    <mergeCell ref="B29:I29"/>
    <mergeCell ref="B42:I42"/>
    <mergeCell ref="B55:I5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5E699-AC07-4FF4-9E5E-D547BB1F9411}">
  <sheetPr>
    <tabColor theme="6"/>
  </sheetPr>
  <dimension ref="A1:U74"/>
  <sheetViews>
    <sheetView topLeftCell="E1" workbookViewId="0">
      <selection activeCell="J4" sqref="J4:J10"/>
    </sheetView>
  </sheetViews>
  <sheetFormatPr baseColWidth="10" defaultColWidth="11" defaultRowHeight="16" x14ac:dyDescent="0.2"/>
  <cols>
    <col min="3" max="3" width="13.6640625" customWidth="1"/>
    <col min="5" max="5" width="16.83203125" customWidth="1"/>
    <col min="10" max="10" width="12.6640625" customWidth="1"/>
  </cols>
  <sheetData>
    <row r="1" spans="1:10" x14ac:dyDescent="0.2">
      <c r="A1" s="1" t="s">
        <v>572</v>
      </c>
    </row>
    <row r="2" spans="1:10" x14ac:dyDescent="0.2">
      <c r="A2" s="1"/>
      <c r="B2" s="321" t="s">
        <v>461</v>
      </c>
      <c r="C2" s="321"/>
      <c r="D2" s="321"/>
      <c r="E2" s="321"/>
      <c r="F2" s="321"/>
      <c r="G2" s="321"/>
      <c r="H2" s="321"/>
      <c r="I2" s="321"/>
    </row>
    <row r="3" spans="1:10" ht="68" x14ac:dyDescent="0.2">
      <c r="B3" s="217" t="s">
        <v>459</v>
      </c>
      <c r="C3" s="200" t="s">
        <v>458</v>
      </c>
      <c r="D3" s="200" t="s">
        <v>457</v>
      </c>
      <c r="E3" s="200" t="s">
        <v>456</v>
      </c>
      <c r="F3" s="200" t="s">
        <v>455</v>
      </c>
      <c r="G3" s="216"/>
      <c r="H3" s="215" t="s">
        <v>561</v>
      </c>
      <c r="I3" s="214" t="s">
        <v>527</v>
      </c>
      <c r="J3" s="39" t="s">
        <v>460</v>
      </c>
    </row>
    <row r="4" spans="1:10" x14ac:dyDescent="0.2">
      <c r="B4" s="209" t="s">
        <v>454</v>
      </c>
      <c r="C4" s="94" t="s">
        <v>453</v>
      </c>
      <c r="D4" s="87">
        <f t="shared" ref="D4:D10" si="0">J4*1000000000000</f>
        <v>16000000000000</v>
      </c>
      <c r="E4" s="93">
        <f t="shared" ref="E4:E10" si="1">D4/1000000</f>
        <v>16000000</v>
      </c>
      <c r="F4" s="206">
        <v>1.0101010000000001E-2</v>
      </c>
      <c r="G4" s="206"/>
      <c r="H4" s="205">
        <v>6.0000000000000001E-3</v>
      </c>
      <c r="I4" s="204">
        <v>2.4E-2</v>
      </c>
      <c r="J4" s="85">
        <v>16</v>
      </c>
    </row>
    <row r="5" spans="1:10" x14ac:dyDescent="0.2">
      <c r="B5" s="209" t="s">
        <v>452</v>
      </c>
      <c r="C5" s="94" t="s">
        <v>451</v>
      </c>
      <c r="D5" s="87">
        <f t="shared" si="0"/>
        <v>35000000000000</v>
      </c>
      <c r="E5" s="93">
        <f t="shared" si="1"/>
        <v>35000000</v>
      </c>
      <c r="F5" s="206">
        <v>1.5151515000000001E-2</v>
      </c>
      <c r="G5" s="206"/>
      <c r="H5" s="205">
        <v>5.0000000000000001E-3</v>
      </c>
      <c r="I5" s="204">
        <v>3.2000000000000001E-2</v>
      </c>
      <c r="J5" s="85">
        <v>35</v>
      </c>
    </row>
    <row r="6" spans="1:10" x14ac:dyDescent="0.2">
      <c r="B6" s="209" t="s">
        <v>450</v>
      </c>
      <c r="C6" s="94" t="s">
        <v>449</v>
      </c>
      <c r="D6" s="87">
        <f t="shared" si="0"/>
        <v>12000000000000</v>
      </c>
      <c r="E6" s="93">
        <f t="shared" si="1"/>
        <v>12000000</v>
      </c>
      <c r="F6" s="206">
        <v>1.0101010000000001E-2</v>
      </c>
      <c r="G6" s="206"/>
      <c r="H6" s="205">
        <v>5.0000000000000001E-3</v>
      </c>
      <c r="I6" s="204">
        <v>1.9E-2</v>
      </c>
      <c r="J6" s="85">
        <v>12</v>
      </c>
    </row>
    <row r="7" spans="1:10" x14ac:dyDescent="0.2">
      <c r="B7" s="209" t="s">
        <v>448</v>
      </c>
      <c r="C7" s="94" t="s">
        <v>447</v>
      </c>
      <c r="D7" s="87">
        <f t="shared" si="0"/>
        <v>4000000000000</v>
      </c>
      <c r="E7" s="93">
        <f t="shared" si="1"/>
        <v>4000000</v>
      </c>
      <c r="F7" s="206">
        <v>0.24494949499999999</v>
      </c>
      <c r="G7" s="206"/>
      <c r="H7" s="205">
        <v>0.23</v>
      </c>
      <c r="I7" s="204">
        <v>22.283000000000001</v>
      </c>
      <c r="J7" s="85">
        <v>4</v>
      </c>
    </row>
    <row r="8" spans="1:10" x14ac:dyDescent="0.2">
      <c r="B8" s="209" t="s">
        <v>446</v>
      </c>
      <c r="C8" s="94" t="s">
        <v>445</v>
      </c>
      <c r="D8" s="87">
        <f t="shared" si="0"/>
        <v>1001000000000000</v>
      </c>
      <c r="E8" s="93">
        <f t="shared" si="1"/>
        <v>1001000000</v>
      </c>
      <c r="F8" s="206">
        <v>0.27525252500000003</v>
      </c>
      <c r="G8" s="206"/>
      <c r="H8" s="205">
        <v>0.51300000000000001</v>
      </c>
      <c r="I8" s="204">
        <v>55.927</v>
      </c>
      <c r="J8" s="85">
        <v>1001</v>
      </c>
    </row>
    <row r="9" spans="1:10" x14ac:dyDescent="0.2">
      <c r="B9" s="209" t="s">
        <v>444</v>
      </c>
      <c r="C9" s="94" t="s">
        <v>443</v>
      </c>
      <c r="D9" s="87">
        <f t="shared" si="0"/>
        <v>469000000000000</v>
      </c>
      <c r="E9" s="93">
        <f t="shared" si="1"/>
        <v>469000000</v>
      </c>
      <c r="F9" s="206">
        <v>0.196969697</v>
      </c>
      <c r="G9" s="206"/>
      <c r="H9" s="205">
        <v>0.35099999999999998</v>
      </c>
      <c r="I9" s="204">
        <v>27.370999999999999</v>
      </c>
      <c r="J9" s="85">
        <v>469</v>
      </c>
    </row>
    <row r="10" spans="1:10" x14ac:dyDescent="0.2">
      <c r="B10" s="209" t="s">
        <v>442</v>
      </c>
      <c r="C10" s="94" t="s">
        <v>441</v>
      </c>
      <c r="D10" s="87">
        <f t="shared" si="0"/>
        <v>18000000000000</v>
      </c>
      <c r="E10" s="93">
        <f t="shared" si="1"/>
        <v>18000000</v>
      </c>
      <c r="F10" s="206">
        <v>0.24747474699999999</v>
      </c>
      <c r="G10" s="206"/>
      <c r="H10" s="205">
        <v>5.8999999999999997E-2</v>
      </c>
      <c r="I10" s="204">
        <v>4.6349999999999998</v>
      </c>
      <c r="J10" s="85">
        <v>18</v>
      </c>
    </row>
    <row r="11" spans="1:10" x14ac:dyDescent="0.2">
      <c r="B11" s="209"/>
      <c r="C11" s="208"/>
      <c r="D11" s="206"/>
      <c r="E11" s="207"/>
      <c r="F11" s="206"/>
      <c r="G11" s="206"/>
      <c r="H11" s="211"/>
      <c r="I11" s="210"/>
      <c r="J11" s="194"/>
    </row>
    <row r="12" spans="1:10" x14ac:dyDescent="0.2">
      <c r="B12" s="209"/>
      <c r="C12" s="208"/>
      <c r="D12" s="206"/>
      <c r="E12" s="207">
        <v>396000000</v>
      </c>
      <c r="F12" s="206">
        <v>1</v>
      </c>
      <c r="G12" s="206"/>
      <c r="H12" s="211"/>
      <c r="I12" s="210">
        <v>110.29109800000001</v>
      </c>
      <c r="J12" s="194">
        <f>SUM(J4:J11)</f>
        <v>1555</v>
      </c>
    </row>
    <row r="13" spans="1:10" ht="51" x14ac:dyDescent="0.2">
      <c r="B13" s="203"/>
      <c r="C13" s="202"/>
      <c r="D13" s="201"/>
      <c r="E13" s="201"/>
      <c r="F13" s="201"/>
      <c r="G13" s="200" t="s">
        <v>440</v>
      </c>
      <c r="H13" s="199"/>
      <c r="I13" s="198">
        <v>15.7558712</v>
      </c>
      <c r="J13" s="197">
        <f>J12/7</f>
        <v>222.14285714285714</v>
      </c>
    </row>
    <row r="14" spans="1:10" x14ac:dyDescent="0.2">
      <c r="B14" s="194"/>
      <c r="C14" s="195"/>
      <c r="D14" s="194"/>
      <c r="E14" s="194"/>
      <c r="F14" s="194"/>
      <c r="G14" s="194"/>
      <c r="H14" s="194"/>
      <c r="I14" s="194"/>
      <c r="J14" s="194"/>
    </row>
    <row r="17" spans="2:21" ht="19" x14ac:dyDescent="0.2">
      <c r="B17" s="331" t="s">
        <v>850</v>
      </c>
      <c r="C17" s="332"/>
      <c r="D17" s="332"/>
      <c r="E17" s="332"/>
      <c r="F17" s="332"/>
      <c r="G17" s="332"/>
      <c r="H17" s="332"/>
      <c r="I17" s="333"/>
      <c r="J17" s="191"/>
      <c r="M17" s="166" t="s">
        <v>551</v>
      </c>
      <c r="U17" s="165"/>
    </row>
    <row r="18" spans="2:21" x14ac:dyDescent="0.2">
      <c r="B18" s="96" t="s">
        <v>270</v>
      </c>
      <c r="C18" s="168" t="s">
        <v>446</v>
      </c>
      <c r="D18" s="168" t="s">
        <v>444</v>
      </c>
      <c r="E18" s="168" t="s">
        <v>454</v>
      </c>
      <c r="F18" s="168" t="s">
        <v>521</v>
      </c>
      <c r="G18" s="168" t="s">
        <v>452</v>
      </c>
      <c r="H18" s="168" t="s">
        <v>450</v>
      </c>
      <c r="I18" s="167" t="s">
        <v>520</v>
      </c>
      <c r="J18" s="221" t="s">
        <v>463</v>
      </c>
      <c r="M18" s="166" t="s">
        <v>550</v>
      </c>
      <c r="U18" s="165"/>
    </row>
    <row r="19" spans="2:21" x14ac:dyDescent="0.2">
      <c r="B19" s="189"/>
      <c r="C19" s="188"/>
      <c r="D19" s="188"/>
      <c r="E19" s="188"/>
      <c r="F19" s="188"/>
      <c r="G19" s="188"/>
      <c r="H19" s="188"/>
      <c r="I19" s="187"/>
      <c r="J19" s="182"/>
      <c r="U19" s="165"/>
    </row>
    <row r="20" spans="2:21" x14ac:dyDescent="0.2">
      <c r="B20" s="99"/>
      <c r="C20" s="184"/>
      <c r="D20" s="184"/>
      <c r="E20" s="184"/>
      <c r="F20" s="184"/>
      <c r="G20" s="184"/>
      <c r="H20" s="184"/>
      <c r="I20" s="183"/>
      <c r="J20" s="182"/>
      <c r="M20" s="169" t="s">
        <v>571</v>
      </c>
      <c r="U20" s="165"/>
    </row>
    <row r="21" spans="2:21" x14ac:dyDescent="0.2">
      <c r="B21" s="99">
        <v>2020</v>
      </c>
      <c r="C21" s="184">
        <v>0.5593504203170423</v>
      </c>
      <c r="D21" s="184">
        <v>0.60554102839400958</v>
      </c>
      <c r="E21" s="184">
        <v>3.719496000253588E-2</v>
      </c>
      <c r="F21" s="184">
        <v>0.21874423550471001</v>
      </c>
      <c r="G21" s="184">
        <f>N31/1000</f>
        <v>1.5459890194014189E-2</v>
      </c>
      <c r="H21" s="184">
        <f>N29/1000</f>
        <v>9.8344707198780891E-3</v>
      </c>
      <c r="I21" s="183">
        <f>+(N23+N30+N32)/1000</f>
        <v>0.13555221169614495</v>
      </c>
      <c r="J21" s="182">
        <f t="shared" ref="J21:J27" si="2">SUM(C21:I21)</f>
        <v>1.5816772168283348</v>
      </c>
      <c r="M21" s="166" t="s">
        <v>544</v>
      </c>
      <c r="U21" s="165"/>
    </row>
    <row r="22" spans="2:21" ht="16" customHeight="1" thickBot="1" x14ac:dyDescent="0.25">
      <c r="B22" s="99">
        <v>2025</v>
      </c>
      <c r="C22" s="184">
        <f>O25/1000</f>
        <v>0.61828745304827371</v>
      </c>
      <c r="D22" s="184">
        <f>O24/1000</f>
        <v>0.66207615543524212</v>
      </c>
      <c r="E22" s="184">
        <f>O26/1000</f>
        <v>3.5695248002433587E-2</v>
      </c>
      <c r="F22" s="184">
        <f>O28/1000</f>
        <v>0.31622268582648189</v>
      </c>
      <c r="G22" s="184">
        <f>O31/1000</f>
        <v>5.231178904426928E-2</v>
      </c>
      <c r="H22" s="184">
        <f>O29/1000</f>
        <v>2.4436117244625598E-2</v>
      </c>
      <c r="I22" s="183">
        <f>(O23+O30+O32)/1000</f>
        <v>0.15953451279631162</v>
      </c>
      <c r="J22" s="182">
        <f t="shared" si="2"/>
        <v>1.8685639613976379</v>
      </c>
      <c r="M22" s="160" t="s">
        <v>543</v>
      </c>
      <c r="N22" s="160">
        <v>2020</v>
      </c>
      <c r="O22" s="160">
        <v>2025</v>
      </c>
      <c r="P22" s="160">
        <v>2030</v>
      </c>
      <c r="Q22" s="160">
        <v>2035</v>
      </c>
      <c r="R22" s="160">
        <v>2040</v>
      </c>
      <c r="S22" s="160">
        <v>2045</v>
      </c>
      <c r="T22" s="160">
        <v>2050</v>
      </c>
      <c r="U22" s="159" t="s">
        <v>542</v>
      </c>
    </row>
    <row r="23" spans="2:21" ht="17" thickTop="1" x14ac:dyDescent="0.2">
      <c r="B23" s="99">
        <v>2030</v>
      </c>
      <c r="C23" s="184">
        <v>0.76979549692250127</v>
      </c>
      <c r="D23" s="184">
        <v>0.66207615543524223</v>
      </c>
      <c r="E23" s="184">
        <v>3.5695248002433587E-2</v>
      </c>
      <c r="F23" s="184">
        <v>0.35897419314391599</v>
      </c>
      <c r="G23" s="184">
        <f>P31/1000</f>
        <v>9.8455578501596558E-2</v>
      </c>
      <c r="H23" s="184">
        <f>P29/1000</f>
        <v>7.9444585925007707E-2</v>
      </c>
      <c r="I23" s="183">
        <f>(P23+P30+P32)/1000</f>
        <v>0.14224768149613373</v>
      </c>
      <c r="J23" s="182">
        <f t="shared" si="2"/>
        <v>2.1466889394268311</v>
      </c>
      <c r="M23" s="150" t="s">
        <v>541</v>
      </c>
      <c r="N23" s="150">
        <v>86.099036314157175</v>
      </c>
      <c r="O23" s="150">
        <v>87.038615648939611</v>
      </c>
      <c r="P23" s="150">
        <v>46.625455851870193</v>
      </c>
      <c r="Q23" s="150">
        <v>22.798987874231269</v>
      </c>
      <c r="R23" s="150">
        <v>11.3146390684972</v>
      </c>
      <c r="S23" s="150">
        <v>4.2790172623266498</v>
      </c>
      <c r="T23" s="150">
        <v>0.2006679238287927</v>
      </c>
      <c r="U23" s="149">
        <v>-18.29487058364295</v>
      </c>
    </row>
    <row r="24" spans="2:21" x14ac:dyDescent="0.2">
      <c r="B24" s="99">
        <v>2035</v>
      </c>
      <c r="C24" s="184">
        <f>Q25/1000</f>
        <v>0.89255859409567517</v>
      </c>
      <c r="D24" s="184">
        <f>Q24/1000</f>
        <v>0.59027283180681034</v>
      </c>
      <c r="E24" s="184">
        <f>Q26/1000</f>
        <v>3.5695248002433587E-2</v>
      </c>
      <c r="F24" s="184">
        <f>Q28/1000</f>
        <v>0.39955898627414987</v>
      </c>
      <c r="G24" s="184">
        <f>Q31/1000</f>
        <v>0.18986719507878291</v>
      </c>
      <c r="H24" s="184">
        <f>Q29/1000</f>
        <v>0.183039371361542</v>
      </c>
      <c r="I24" s="183">
        <f>(Q23+Q30+Q32)/1000</f>
        <v>0.12576430614439119</v>
      </c>
      <c r="J24" s="182">
        <f t="shared" si="2"/>
        <v>2.416756532763785</v>
      </c>
      <c r="M24" s="150" t="s">
        <v>540</v>
      </c>
      <c r="N24" s="150">
        <v>605.54102839400957</v>
      </c>
      <c r="O24" s="150">
        <v>662.07615543524207</v>
      </c>
      <c r="P24" s="150">
        <v>662.07615543524207</v>
      </c>
      <c r="Q24" s="150">
        <v>590.27283180681036</v>
      </c>
      <c r="R24" s="150">
        <v>525.80128767428232</v>
      </c>
      <c r="S24" s="150">
        <v>467.73888481504002</v>
      </c>
      <c r="T24" s="150">
        <v>456.84417598814531</v>
      </c>
      <c r="U24" s="149">
        <v>-0.93486920042676891</v>
      </c>
    </row>
    <row r="25" spans="2:21" x14ac:dyDescent="0.2">
      <c r="B25" s="99">
        <v>2040</v>
      </c>
      <c r="C25" s="184">
        <v>1.031611035659006</v>
      </c>
      <c r="D25" s="184">
        <v>0.52580128767428236</v>
      </c>
      <c r="E25" s="184">
        <v>3.5695248002433587E-2</v>
      </c>
      <c r="F25" s="184">
        <v>0.40983967993246789</v>
      </c>
      <c r="G25" s="184">
        <f>R31/1000</f>
        <v>0.33069031440330388</v>
      </c>
      <c r="H25" s="184">
        <v>0.33069031440330388</v>
      </c>
      <c r="I25" s="183">
        <f>(R23+R30+R32)/1000</f>
        <v>0.11941202942967931</v>
      </c>
      <c r="J25" s="182">
        <f t="shared" si="2"/>
        <v>2.7837399095044768</v>
      </c>
      <c r="M25" s="150" t="s">
        <v>446</v>
      </c>
      <c r="N25" s="150">
        <v>559.35042031704245</v>
      </c>
      <c r="O25" s="150">
        <v>618.28745304827373</v>
      </c>
      <c r="P25" s="150">
        <v>769.79549692250123</v>
      </c>
      <c r="Q25" s="150">
        <v>892.55859409567518</v>
      </c>
      <c r="R25" s="150">
        <v>1031.6110356590059</v>
      </c>
      <c r="S25" s="150">
        <v>1291.8158734014951</v>
      </c>
      <c r="T25" s="150">
        <v>1513.5441267415861</v>
      </c>
      <c r="U25" s="149">
        <v>3.3737736905363298</v>
      </c>
    </row>
    <row r="26" spans="2:21" x14ac:dyDescent="0.2">
      <c r="B26" s="99">
        <v>2045</v>
      </c>
      <c r="C26" s="184">
        <f>S25/1000</f>
        <v>1.2918158734014951</v>
      </c>
      <c r="D26" s="184">
        <f>S24/1000</f>
        <v>0.46773888481504</v>
      </c>
      <c r="E26" s="184">
        <f>S26/1000</f>
        <v>3.5695248002433587E-2</v>
      </c>
      <c r="F26" s="184">
        <f>S28/1000</f>
        <v>0.4246907933176689</v>
      </c>
      <c r="G26" s="184">
        <f>S31/1000</f>
        <v>0.41917368656335785</v>
      </c>
      <c r="H26" s="184">
        <f>S29/1000</f>
        <v>0.29631961639820598</v>
      </c>
      <c r="I26" s="183">
        <f>(S23+S30+S32)/1000</f>
        <v>0.11807883682724518</v>
      </c>
      <c r="J26" s="182">
        <f t="shared" si="2"/>
        <v>3.0535129393254463</v>
      </c>
      <c r="M26" s="150" t="s">
        <v>454</v>
      </c>
      <c r="N26" s="150">
        <v>37.194960002535879</v>
      </c>
      <c r="O26" s="150">
        <v>35.695248002433587</v>
      </c>
      <c r="P26" s="150">
        <v>35.695248002433587</v>
      </c>
      <c r="Q26" s="150">
        <v>35.695248002433587</v>
      </c>
      <c r="R26" s="150">
        <v>35.695248002433587</v>
      </c>
      <c r="S26" s="150">
        <v>35.695248002433587</v>
      </c>
      <c r="T26" s="150">
        <v>35.695248002433587</v>
      </c>
      <c r="U26" s="149">
        <v>-0.1370916019820867</v>
      </c>
    </row>
    <row r="27" spans="2:21" x14ac:dyDescent="0.2">
      <c r="B27" s="98">
        <v>2050</v>
      </c>
      <c r="C27" s="180">
        <v>1.513544126741587</v>
      </c>
      <c r="D27" s="180">
        <v>0.4568441759881452</v>
      </c>
      <c r="E27" s="180">
        <v>3.5695248002433587E-2</v>
      </c>
      <c r="F27" s="180">
        <v>0.46576774686644679</v>
      </c>
      <c r="G27" s="180">
        <f>T31/1000</f>
        <v>0.46601982018682392</v>
      </c>
      <c r="H27" s="180">
        <v>0.46601982018682392</v>
      </c>
      <c r="I27" s="183">
        <f>(T23+T30+T32)/1000</f>
        <v>0.11904617442290752</v>
      </c>
      <c r="J27" s="182">
        <f t="shared" si="2"/>
        <v>3.5229371123951685</v>
      </c>
      <c r="M27" s="150" t="s">
        <v>539</v>
      </c>
      <c r="N27" s="150">
        <v>293.49177180059002</v>
      </c>
      <c r="O27" s="150">
        <v>465.46648926274878</v>
      </c>
      <c r="P27" s="150">
        <v>632.49658321478375</v>
      </c>
      <c r="Q27" s="150">
        <v>875.43087098463479</v>
      </c>
      <c r="R27" s="150">
        <v>1134.799919491034</v>
      </c>
      <c r="S27" s="150">
        <v>1253.9839158441509</v>
      </c>
      <c r="T27" s="150">
        <v>1354.922742381111</v>
      </c>
      <c r="U27" s="149">
        <v>5.2310620143429132</v>
      </c>
    </row>
    <row r="28" spans="2:21" x14ac:dyDescent="0.2">
      <c r="B28" s="184"/>
      <c r="C28" s="184"/>
      <c r="D28" s="184"/>
      <c r="E28" s="184"/>
      <c r="F28" s="184"/>
      <c r="G28" s="184"/>
      <c r="H28" s="184"/>
      <c r="I28" s="184"/>
      <c r="J28" s="184"/>
      <c r="M28" s="150" t="s">
        <v>538</v>
      </c>
      <c r="N28" s="150">
        <v>218.74423550470999</v>
      </c>
      <c r="O28" s="150">
        <v>316.22268582648189</v>
      </c>
      <c r="P28" s="150">
        <v>358.97419314391601</v>
      </c>
      <c r="Q28" s="150">
        <v>399.5589862741499</v>
      </c>
      <c r="R28" s="150">
        <v>409.8396799324679</v>
      </c>
      <c r="S28" s="150">
        <v>424.69079331766892</v>
      </c>
      <c r="T28" s="150">
        <v>465.76774686644688</v>
      </c>
      <c r="U28" s="149">
        <v>2.5512818275696292</v>
      </c>
    </row>
    <row r="29" spans="2:21" x14ac:dyDescent="0.2">
      <c r="M29" s="150" t="s">
        <v>537</v>
      </c>
      <c r="N29" s="150">
        <v>9.8344707198780892</v>
      </c>
      <c r="O29" s="150">
        <v>24.436117244625599</v>
      </c>
      <c r="P29" s="150">
        <v>79.444585925007701</v>
      </c>
      <c r="Q29" s="150">
        <v>183.03937136154201</v>
      </c>
      <c r="R29" s="150">
        <v>286.17253479407998</v>
      </c>
      <c r="S29" s="150">
        <v>296.31961639820599</v>
      </c>
      <c r="T29" s="150">
        <v>304.28966882876199</v>
      </c>
      <c r="U29" s="149">
        <v>12.12037471329999</v>
      </c>
    </row>
    <row r="30" spans="2:21" x14ac:dyDescent="0.2">
      <c r="M30" s="150" t="s">
        <v>536</v>
      </c>
      <c r="N30" s="150">
        <v>29.293868496503979</v>
      </c>
      <c r="O30" s="150">
        <v>49.287602989348983</v>
      </c>
      <c r="P30" s="150">
        <v>63.66014954974677</v>
      </c>
      <c r="Q30" s="150">
        <v>64.688096036590466</v>
      </c>
      <c r="R30" s="150">
        <v>64.692965133222259</v>
      </c>
      <c r="S30" s="150">
        <v>65.208055719360374</v>
      </c>
      <c r="T30" s="150">
        <v>65.360124943350073</v>
      </c>
      <c r="U30" s="149">
        <v>2.7112161575759912</v>
      </c>
    </row>
    <row r="31" spans="2:21" ht="19" x14ac:dyDescent="0.2">
      <c r="B31" s="331" t="s">
        <v>570</v>
      </c>
      <c r="C31" s="332"/>
      <c r="D31" s="332"/>
      <c r="E31" s="332"/>
      <c r="F31" s="332"/>
      <c r="G31" s="332"/>
      <c r="H31" s="332"/>
      <c r="I31" s="333"/>
      <c r="M31" s="150" t="s">
        <v>535</v>
      </c>
      <c r="N31" s="150">
        <v>15.459890194014189</v>
      </c>
      <c r="O31" s="150">
        <v>52.311789044269283</v>
      </c>
      <c r="P31" s="150">
        <v>98.455578501596563</v>
      </c>
      <c r="Q31" s="150">
        <v>189.86719507878291</v>
      </c>
      <c r="R31" s="150">
        <v>330.69031440330389</v>
      </c>
      <c r="S31" s="150">
        <v>419.17368656335788</v>
      </c>
      <c r="T31" s="150">
        <v>466.01982018682389</v>
      </c>
      <c r="U31" s="149">
        <v>12.022845349570391</v>
      </c>
    </row>
    <row r="32" spans="2:21" x14ac:dyDescent="0.2">
      <c r="B32" s="96" t="s">
        <v>270</v>
      </c>
      <c r="C32" s="168" t="s">
        <v>446</v>
      </c>
      <c r="D32" s="168" t="s">
        <v>444</v>
      </c>
      <c r="E32" s="168" t="s">
        <v>454</v>
      </c>
      <c r="F32" s="168" t="s">
        <v>521</v>
      </c>
      <c r="G32" s="168" t="s">
        <v>452</v>
      </c>
      <c r="H32" s="168" t="s">
        <v>450</v>
      </c>
      <c r="I32" s="167" t="s">
        <v>520</v>
      </c>
      <c r="J32" s="28"/>
      <c r="M32" s="150" t="s">
        <v>534</v>
      </c>
      <c r="N32" s="150">
        <v>20.159306885483801</v>
      </c>
      <c r="O32" s="150">
        <v>23.208294158023019</v>
      </c>
      <c r="P32" s="150">
        <v>31.962076094516771</v>
      </c>
      <c r="Q32" s="150">
        <v>38.277222233569447</v>
      </c>
      <c r="R32" s="150">
        <v>43.404425227959848</v>
      </c>
      <c r="S32" s="150">
        <v>48.591763845558162</v>
      </c>
      <c r="T32" s="150">
        <v>53.485381555728651</v>
      </c>
      <c r="U32" s="149">
        <v>3.3059454598937328</v>
      </c>
    </row>
    <row r="33" spans="2:21" ht="17" thickBot="1" x14ac:dyDescent="0.25">
      <c r="B33" s="99"/>
      <c r="C33" s="175"/>
      <c r="D33" s="175"/>
      <c r="E33" s="175"/>
      <c r="F33" s="175"/>
      <c r="G33" s="175"/>
      <c r="H33" s="175"/>
      <c r="I33" s="174"/>
      <c r="J33" s="21"/>
      <c r="M33" s="150" t="s">
        <v>533</v>
      </c>
      <c r="N33" s="150">
        <v>1581.6772168283351</v>
      </c>
      <c r="O33" s="150">
        <v>1868.563961397638</v>
      </c>
      <c r="P33" s="150">
        <v>2146.688939426831</v>
      </c>
      <c r="Q33" s="150">
        <v>2416.7565327637849</v>
      </c>
      <c r="R33" s="150">
        <v>2739.2221298952531</v>
      </c>
      <c r="S33" s="150">
        <v>3053.512939325447</v>
      </c>
      <c r="T33" s="150">
        <v>3361.206961037105</v>
      </c>
      <c r="U33" s="149">
        <v>2.544549115023198</v>
      </c>
    </row>
    <row r="34" spans="2:21" ht="17" thickBot="1" x14ac:dyDescent="0.25">
      <c r="B34" s="99">
        <v>2020</v>
      </c>
      <c r="C34" s="171">
        <f t="shared" ref="C34:C40" si="3">C21/J21</f>
        <v>0.35364384993714593</v>
      </c>
      <c r="D34" s="171">
        <f t="shared" ref="D34:D40" si="4">D21/J21</f>
        <v>0.38284741156496732</v>
      </c>
      <c r="E34" s="171">
        <f t="shared" ref="E34:E40" si="5">E21/J21</f>
        <v>2.351615083456866E-2</v>
      </c>
      <c r="F34" s="171">
        <f t="shared" ref="F34:F40" si="6">F21/J21</f>
        <v>0.13829891028167418</v>
      </c>
      <c r="G34" s="171">
        <f>G21/J21</f>
        <v>9.7743648511389707E-3</v>
      </c>
      <c r="H34" s="171">
        <f t="shared" ref="H34:H40" si="7">H21/J21</f>
        <v>6.2177482328529109E-3</v>
      </c>
      <c r="I34" s="170">
        <f t="shared" ref="I34:I40" si="8">I21/J21</f>
        <v>8.5701564297652091E-2</v>
      </c>
      <c r="M34" s="337" t="s">
        <v>532</v>
      </c>
      <c r="N34" s="337"/>
      <c r="O34" s="337"/>
      <c r="P34" s="337"/>
      <c r="Q34" s="337"/>
      <c r="R34" s="337"/>
      <c r="S34" s="337"/>
      <c r="T34" s="337"/>
      <c r="U34" s="337"/>
    </row>
    <row r="35" spans="2:21" ht="17" thickBot="1" x14ac:dyDescent="0.25">
      <c r="B35" s="99">
        <v>2025</v>
      </c>
      <c r="C35" s="171">
        <f t="shared" si="3"/>
        <v>0.33088910298034996</v>
      </c>
      <c r="D35" s="171">
        <f t="shared" si="4"/>
        <v>0.35432351747810986</v>
      </c>
      <c r="E35" s="171">
        <f t="shared" si="5"/>
        <v>1.9103037808635918E-2</v>
      </c>
      <c r="F35" s="171">
        <f t="shared" si="6"/>
        <v>0.1692330005069537</v>
      </c>
      <c r="G35" s="171">
        <f>H22/J22</f>
        <v>1.307748503634203E-2</v>
      </c>
      <c r="H35" s="171">
        <f t="shared" si="7"/>
        <v>1.307748503634203E-2</v>
      </c>
      <c r="I35" s="170">
        <f t="shared" si="8"/>
        <v>8.5378138555655264E-2</v>
      </c>
      <c r="M35" s="337"/>
      <c r="N35" s="337"/>
      <c r="O35" s="337"/>
      <c r="P35" s="337"/>
      <c r="Q35" s="337"/>
      <c r="R35" s="337"/>
      <c r="S35" s="337"/>
      <c r="T35" s="337"/>
      <c r="U35" s="337"/>
    </row>
    <row r="36" spans="2:21" ht="17" thickBot="1" x14ac:dyDescent="0.25">
      <c r="B36" s="99">
        <v>2030</v>
      </c>
      <c r="C36" s="171">
        <f t="shared" si="3"/>
        <v>0.35859666614206237</v>
      </c>
      <c r="D36" s="171">
        <f t="shared" si="4"/>
        <v>0.30841736931481906</v>
      </c>
      <c r="E36" s="171">
        <f t="shared" si="5"/>
        <v>1.6628048594671693E-2</v>
      </c>
      <c r="F36" s="171">
        <f t="shared" si="6"/>
        <v>0.16722226800113973</v>
      </c>
      <c r="G36" s="171">
        <f>G23/J23</f>
        <v>4.5863924061529067E-2</v>
      </c>
      <c r="H36" s="171">
        <f t="shared" si="7"/>
        <v>3.7007963504120688E-2</v>
      </c>
      <c r="I36" s="170">
        <f t="shared" si="8"/>
        <v>6.6263760381657377E-2</v>
      </c>
      <c r="M36" s="337"/>
      <c r="N36" s="337"/>
      <c r="O36" s="337"/>
      <c r="P36" s="337"/>
      <c r="Q36" s="337"/>
      <c r="R36" s="337"/>
      <c r="S36" s="337"/>
      <c r="T36" s="337"/>
      <c r="U36" s="337"/>
    </row>
    <row r="37" spans="2:21" ht="17" thickBot="1" x14ac:dyDescent="0.25">
      <c r="B37" s="99">
        <v>2035</v>
      </c>
      <c r="C37" s="171">
        <f t="shared" si="3"/>
        <v>0.3693208571055156</v>
      </c>
      <c r="D37" s="171">
        <f t="shared" si="4"/>
        <v>0.24424174458805689</v>
      </c>
      <c r="E37" s="171">
        <f t="shared" si="5"/>
        <v>1.476989821627285E-2</v>
      </c>
      <c r="F37" s="171">
        <f t="shared" si="6"/>
        <v>0.16532860503627858</v>
      </c>
      <c r="G37" s="171">
        <f>H24/J24</f>
        <v>7.5737613152210878E-2</v>
      </c>
      <c r="H37" s="171">
        <f t="shared" si="7"/>
        <v>7.5737613152210878E-2</v>
      </c>
      <c r="I37" s="170">
        <f t="shared" si="8"/>
        <v>5.2038467441554014E-2</v>
      </c>
      <c r="M37" s="337"/>
      <c r="N37" s="337"/>
      <c r="O37" s="337"/>
      <c r="P37" s="337"/>
      <c r="Q37" s="337"/>
      <c r="R37" s="337"/>
      <c r="S37" s="337"/>
      <c r="T37" s="337"/>
      <c r="U37" s="337"/>
    </row>
    <row r="38" spans="2:21" ht="17" thickBot="1" x14ac:dyDescent="0.25">
      <c r="B38" s="99">
        <v>2040</v>
      </c>
      <c r="C38" s="171">
        <f t="shared" si="3"/>
        <v>0.37058456220597108</v>
      </c>
      <c r="D38" s="171">
        <f t="shared" si="4"/>
        <v>0.18888305113529025</v>
      </c>
      <c r="E38" s="171">
        <f t="shared" si="5"/>
        <v>1.2822766911721852E-2</v>
      </c>
      <c r="F38" s="171">
        <f t="shared" si="6"/>
        <v>0.14722628307808466</v>
      </c>
      <c r="G38" s="171">
        <f>G25/J25</f>
        <v>0.11879353860403173</v>
      </c>
      <c r="H38" s="171">
        <f t="shared" si="7"/>
        <v>0.11879353860403173</v>
      </c>
      <c r="I38" s="170">
        <f t="shared" si="8"/>
        <v>4.2896259460868745E-2</v>
      </c>
      <c r="M38" s="337"/>
      <c r="N38" s="337"/>
      <c r="O38" s="337"/>
      <c r="P38" s="337"/>
      <c r="Q38" s="337"/>
      <c r="R38" s="337"/>
      <c r="S38" s="337"/>
      <c r="T38" s="337"/>
      <c r="U38" s="337"/>
    </row>
    <row r="39" spans="2:21" ht="17" thickBot="1" x14ac:dyDescent="0.25">
      <c r="B39" s="99">
        <v>2045</v>
      </c>
      <c r="C39" s="171">
        <f t="shared" si="3"/>
        <v>0.42305891577026394</v>
      </c>
      <c r="D39" s="171">
        <f t="shared" si="4"/>
        <v>0.15318058056710529</v>
      </c>
      <c r="E39" s="171">
        <f t="shared" si="5"/>
        <v>1.1689895773069508E-2</v>
      </c>
      <c r="F39" s="171">
        <f t="shared" si="6"/>
        <v>0.13908268992352382</v>
      </c>
      <c r="G39" s="171">
        <f>H26/J26</f>
        <v>9.7042200994788039E-2</v>
      </c>
      <c r="H39" s="171">
        <f t="shared" si="7"/>
        <v>9.7042200994788039E-2</v>
      </c>
      <c r="I39" s="170">
        <f t="shared" si="8"/>
        <v>3.8669833458550879E-2</v>
      </c>
      <c r="M39" s="337"/>
      <c r="N39" s="337"/>
      <c r="O39" s="337"/>
      <c r="P39" s="337"/>
      <c r="Q39" s="337"/>
      <c r="R39" s="337"/>
      <c r="S39" s="337"/>
      <c r="T39" s="337"/>
      <c r="U39" s="337"/>
    </row>
    <row r="40" spans="2:21" ht="17" thickBot="1" x14ac:dyDescent="0.25">
      <c r="B40" s="98">
        <v>2050</v>
      </c>
      <c r="C40" s="171">
        <f t="shared" si="3"/>
        <v>0.4296256443001224</v>
      </c>
      <c r="D40" s="171">
        <f t="shared" si="4"/>
        <v>0.1296770738202439</v>
      </c>
      <c r="E40" s="171">
        <f t="shared" si="5"/>
        <v>1.0132241043089515E-2</v>
      </c>
      <c r="F40" s="171">
        <f t="shared" si="6"/>
        <v>0.13221006563747073</v>
      </c>
      <c r="G40" s="171">
        <f>G27/J27</f>
        <v>0.13228161767270014</v>
      </c>
      <c r="H40" s="171">
        <f t="shared" si="7"/>
        <v>0.13228161767270014</v>
      </c>
      <c r="I40" s="170">
        <f t="shared" si="8"/>
        <v>3.3791739853673008E-2</v>
      </c>
      <c r="K40" s="223"/>
      <c r="M40" s="337"/>
      <c r="N40" s="337"/>
      <c r="O40" s="337"/>
      <c r="P40" s="337"/>
      <c r="Q40" s="337"/>
      <c r="R40" s="337"/>
      <c r="S40" s="337"/>
      <c r="T40" s="337"/>
      <c r="U40" s="337"/>
    </row>
    <row r="41" spans="2:21" ht="17" thickBot="1" x14ac:dyDescent="0.25">
      <c r="B41" s="154"/>
      <c r="C41" s="153"/>
      <c r="D41" s="153"/>
      <c r="E41" s="153"/>
      <c r="F41" s="153"/>
      <c r="G41" s="153"/>
      <c r="H41" s="153"/>
      <c r="I41" s="152"/>
      <c r="M41" s="337"/>
      <c r="N41" s="337"/>
      <c r="O41" s="337"/>
      <c r="P41" s="337"/>
      <c r="Q41" s="337"/>
      <c r="R41" s="337"/>
      <c r="S41" s="337"/>
      <c r="T41" s="337"/>
      <c r="U41" s="337"/>
    </row>
    <row r="42" spans="2:21" ht="17" thickBot="1" x14ac:dyDescent="0.25">
      <c r="M42" s="337"/>
      <c r="N42" s="337"/>
      <c r="O42" s="337"/>
      <c r="P42" s="337"/>
      <c r="Q42" s="337"/>
      <c r="R42" s="337"/>
      <c r="S42" s="337"/>
      <c r="T42" s="337"/>
      <c r="U42" s="337"/>
    </row>
    <row r="43" spans="2:21" ht="17" thickBot="1" x14ac:dyDescent="0.25">
      <c r="J43" s="223">
        <f>SUM(C46:I46)</f>
        <v>0</v>
      </c>
      <c r="M43" s="337"/>
      <c r="N43" s="337"/>
      <c r="O43" s="337"/>
      <c r="P43" s="337"/>
      <c r="Q43" s="337"/>
      <c r="R43" s="337"/>
      <c r="S43" s="337"/>
      <c r="T43" s="337"/>
      <c r="U43" s="337"/>
    </row>
    <row r="44" spans="2:21" ht="20" thickBot="1" x14ac:dyDescent="0.25">
      <c r="B44" s="331" t="s">
        <v>569</v>
      </c>
      <c r="C44" s="332"/>
      <c r="D44" s="332"/>
      <c r="E44" s="332"/>
      <c r="F44" s="332"/>
      <c r="G44" s="332"/>
      <c r="H44" s="332"/>
      <c r="I44" s="333"/>
      <c r="J44" s="334" t="s">
        <v>548</v>
      </c>
      <c r="K44" s="335" t="s">
        <v>547</v>
      </c>
      <c r="L44" s="336" t="s">
        <v>546</v>
      </c>
      <c r="M44" s="337"/>
      <c r="N44" s="337"/>
      <c r="O44" s="337"/>
      <c r="P44" s="337"/>
      <c r="Q44" s="337"/>
      <c r="R44" s="337"/>
      <c r="S44" s="337"/>
      <c r="T44" s="337"/>
      <c r="U44" s="337"/>
    </row>
    <row r="45" spans="2:21" ht="17" thickBot="1" x14ac:dyDescent="0.25">
      <c r="B45" s="96" t="s">
        <v>270</v>
      </c>
      <c r="C45" s="168" t="s">
        <v>446</v>
      </c>
      <c r="D45" s="168" t="s">
        <v>444</v>
      </c>
      <c r="E45" s="168" t="s">
        <v>454</v>
      </c>
      <c r="F45" s="168" t="s">
        <v>521</v>
      </c>
      <c r="G45" s="168" t="s">
        <v>452</v>
      </c>
      <c r="H45" s="168" t="s">
        <v>450</v>
      </c>
      <c r="I45" s="167" t="s">
        <v>520</v>
      </c>
      <c r="J45" s="334"/>
      <c r="K45" s="335"/>
      <c r="L45" s="336"/>
      <c r="M45" s="337"/>
      <c r="N45" s="337"/>
      <c r="O45" s="337"/>
      <c r="P45" s="337"/>
      <c r="Q45" s="337"/>
      <c r="R45" s="337"/>
      <c r="S45" s="337"/>
      <c r="T45" s="337"/>
      <c r="U45" s="337"/>
    </row>
    <row r="46" spans="2:21" ht="17" thickBot="1" x14ac:dyDescent="0.25">
      <c r="B46" s="99"/>
      <c r="C46" s="158">
        <f t="shared" ref="C46:C53" si="9">C33*$J$8</f>
        <v>0</v>
      </c>
      <c r="D46" s="158">
        <f t="shared" ref="D46:D53" si="10">D33*$J$9</f>
        <v>0</v>
      </c>
      <c r="E46" s="158">
        <f t="shared" ref="E46:E53" si="11">E33*$J$4</f>
        <v>0</v>
      </c>
      <c r="F46" s="158">
        <f t="shared" ref="F46:F53" si="12">F33*$J$7</f>
        <v>0</v>
      </c>
      <c r="G46" s="158">
        <f t="shared" ref="G46:G53" si="13">G33*$J$5</f>
        <v>0</v>
      </c>
      <c r="H46" s="158">
        <f t="shared" ref="H46:H53" si="14">H33*$J$6</f>
        <v>0</v>
      </c>
      <c r="I46" s="220">
        <f>I33*$J$11</f>
        <v>0</v>
      </c>
      <c r="J46" s="151"/>
      <c r="K46" s="151"/>
      <c r="L46" s="151"/>
      <c r="M46" s="337"/>
      <c r="N46" s="337"/>
      <c r="O46" s="337"/>
      <c r="P46" s="337"/>
      <c r="Q46" s="337"/>
      <c r="R46" s="337"/>
      <c r="S46" s="337"/>
      <c r="T46" s="337"/>
      <c r="U46" s="337"/>
    </row>
    <row r="47" spans="2:21" x14ac:dyDescent="0.2">
      <c r="B47" s="99">
        <v>2020</v>
      </c>
      <c r="C47" s="158">
        <f t="shared" si="9"/>
        <v>353.99749378708304</v>
      </c>
      <c r="D47" s="158">
        <f t="shared" si="10"/>
        <v>179.55543602396966</v>
      </c>
      <c r="E47" s="158">
        <f t="shared" si="11"/>
        <v>0.37625841335309856</v>
      </c>
      <c r="F47" s="158">
        <f t="shared" si="12"/>
        <v>0.55319564112669672</v>
      </c>
      <c r="G47" s="158">
        <f t="shared" si="13"/>
        <v>0.34210276978986398</v>
      </c>
      <c r="H47" s="158">
        <f t="shared" si="14"/>
        <v>7.4612978794234924E-2</v>
      </c>
      <c r="I47" s="219">
        <f t="shared" ref="I47:I53" si="15">I34*$J$10</f>
        <v>1.5426281573577376</v>
      </c>
      <c r="J47" s="155">
        <f t="shared" ref="J47:J53" si="16">SUM(C47:I47)</f>
        <v>536.44172777147435</v>
      </c>
      <c r="K47" s="155">
        <f>$J$8-J47</f>
        <v>464.55827222852565</v>
      </c>
      <c r="L47" s="155">
        <f t="shared" ref="L47:L53" si="17">K47/1011</f>
        <v>0.45950373118548532</v>
      </c>
      <c r="M47" s="337"/>
      <c r="N47" s="337"/>
      <c r="O47" s="337"/>
      <c r="P47" s="337"/>
      <c r="Q47" s="337"/>
      <c r="R47" s="337"/>
      <c r="S47" s="337"/>
      <c r="T47" s="337"/>
      <c r="U47" s="337"/>
    </row>
    <row r="48" spans="2:21" x14ac:dyDescent="0.2">
      <c r="B48" s="99">
        <v>2025</v>
      </c>
      <c r="C48" s="158">
        <f t="shared" si="9"/>
        <v>331.21999208333028</v>
      </c>
      <c r="D48" s="158">
        <f t="shared" si="10"/>
        <v>166.17772969723353</v>
      </c>
      <c r="E48" s="158">
        <f t="shared" si="11"/>
        <v>0.3056486049381747</v>
      </c>
      <c r="F48" s="158">
        <f t="shared" si="12"/>
        <v>0.67693200202781478</v>
      </c>
      <c r="G48" s="158">
        <f t="shared" si="13"/>
        <v>0.45771197627197102</v>
      </c>
      <c r="H48" s="158">
        <f t="shared" si="14"/>
        <v>0.15692982043610437</v>
      </c>
      <c r="I48" s="219">
        <f t="shared" si="15"/>
        <v>1.5368064940017947</v>
      </c>
      <c r="J48" s="155">
        <f t="shared" si="16"/>
        <v>500.53175067823969</v>
      </c>
      <c r="K48" s="155">
        <f t="shared" ref="K48:K53" si="18">$J$8-J48</f>
        <v>500.46824932176031</v>
      </c>
      <c r="L48" s="155">
        <f t="shared" si="17"/>
        <v>0.49502299636178071</v>
      </c>
    </row>
    <row r="49" spans="2:12" x14ac:dyDescent="0.2">
      <c r="B49" s="99">
        <v>2030</v>
      </c>
      <c r="C49" s="158">
        <f t="shared" si="9"/>
        <v>358.95526280820445</v>
      </c>
      <c r="D49" s="158">
        <f t="shared" si="10"/>
        <v>144.64774620865015</v>
      </c>
      <c r="E49" s="158">
        <f t="shared" si="11"/>
        <v>0.26604877751474709</v>
      </c>
      <c r="F49" s="158">
        <f t="shared" si="12"/>
        <v>0.66888907200455894</v>
      </c>
      <c r="G49" s="158">
        <f t="shared" si="13"/>
        <v>1.6052373421535173</v>
      </c>
      <c r="H49" s="158">
        <f t="shared" si="14"/>
        <v>0.44409556204944822</v>
      </c>
      <c r="I49" s="219">
        <f t="shared" si="15"/>
        <v>1.1927476868698328</v>
      </c>
      <c r="J49" s="155">
        <f t="shared" si="16"/>
        <v>507.78002745744669</v>
      </c>
      <c r="K49" s="155">
        <f t="shared" si="18"/>
        <v>493.21997254255331</v>
      </c>
      <c r="L49" s="155">
        <f t="shared" si="17"/>
        <v>0.48785358312814375</v>
      </c>
    </row>
    <row r="50" spans="2:12" x14ac:dyDescent="0.2">
      <c r="B50" s="99">
        <v>2035</v>
      </c>
      <c r="C50" s="158">
        <f t="shared" si="9"/>
        <v>369.69017796262114</v>
      </c>
      <c r="D50" s="158">
        <f t="shared" si="10"/>
        <v>114.54937821179868</v>
      </c>
      <c r="E50" s="158">
        <f t="shared" si="11"/>
        <v>0.23631837146036561</v>
      </c>
      <c r="F50" s="158">
        <f t="shared" si="12"/>
        <v>0.66131442014511432</v>
      </c>
      <c r="G50" s="158">
        <f t="shared" si="13"/>
        <v>2.6508164603273809</v>
      </c>
      <c r="H50" s="158">
        <f t="shared" si="14"/>
        <v>0.90885135782653048</v>
      </c>
      <c r="I50" s="219">
        <f t="shared" si="15"/>
        <v>0.9366924139479722</v>
      </c>
      <c r="J50" s="155">
        <f t="shared" si="16"/>
        <v>489.63354919812718</v>
      </c>
      <c r="K50" s="155">
        <f t="shared" si="18"/>
        <v>511.36645080187282</v>
      </c>
      <c r="L50" s="155">
        <f t="shared" si="17"/>
        <v>0.50580262196030945</v>
      </c>
    </row>
    <row r="51" spans="2:12" x14ac:dyDescent="0.2">
      <c r="B51" s="99">
        <v>2040</v>
      </c>
      <c r="C51" s="158">
        <f t="shared" si="9"/>
        <v>370.95514676817703</v>
      </c>
      <c r="D51" s="158">
        <f t="shared" si="10"/>
        <v>88.58615098245113</v>
      </c>
      <c r="E51" s="158">
        <f t="shared" si="11"/>
        <v>0.20516427058754963</v>
      </c>
      <c r="F51" s="158">
        <f t="shared" si="12"/>
        <v>0.58890513231233865</v>
      </c>
      <c r="G51" s="158">
        <f t="shared" si="13"/>
        <v>4.1577738511411102</v>
      </c>
      <c r="H51" s="158">
        <f t="shared" si="14"/>
        <v>1.4255224632483807</v>
      </c>
      <c r="I51" s="219">
        <f t="shared" si="15"/>
        <v>0.77213267029563737</v>
      </c>
      <c r="J51" s="155">
        <f t="shared" si="16"/>
        <v>466.69079613821316</v>
      </c>
      <c r="K51" s="155">
        <f t="shared" si="18"/>
        <v>534.30920386178684</v>
      </c>
      <c r="L51" s="155">
        <f t="shared" si="17"/>
        <v>0.52849575060513043</v>
      </c>
    </row>
    <row r="52" spans="2:12" x14ac:dyDescent="0.2">
      <c r="B52" s="99">
        <v>2045</v>
      </c>
      <c r="C52" s="158">
        <f t="shared" si="9"/>
        <v>423.48197468603422</v>
      </c>
      <c r="D52" s="158">
        <f t="shared" si="10"/>
        <v>71.841692285972385</v>
      </c>
      <c r="E52" s="158">
        <f t="shared" si="11"/>
        <v>0.18703833236911213</v>
      </c>
      <c r="F52" s="158">
        <f t="shared" si="12"/>
        <v>0.55633075969409529</v>
      </c>
      <c r="G52" s="158">
        <f t="shared" si="13"/>
        <v>3.3964770348175812</v>
      </c>
      <c r="H52" s="158">
        <f t="shared" si="14"/>
        <v>1.1645064119374564</v>
      </c>
      <c r="I52" s="219">
        <f t="shared" si="15"/>
        <v>0.69605700225391587</v>
      </c>
      <c r="J52" s="155">
        <f t="shared" si="16"/>
        <v>501.32407651307875</v>
      </c>
      <c r="K52" s="155">
        <f t="shared" si="18"/>
        <v>499.67592348692125</v>
      </c>
      <c r="L52" s="155">
        <f t="shared" si="17"/>
        <v>0.49423929128281036</v>
      </c>
    </row>
    <row r="53" spans="2:12" x14ac:dyDescent="0.2">
      <c r="B53" s="98">
        <v>2050</v>
      </c>
      <c r="C53" s="158">
        <f t="shared" si="9"/>
        <v>430.05526994442255</v>
      </c>
      <c r="D53" s="158">
        <f t="shared" si="10"/>
        <v>60.818547621694393</v>
      </c>
      <c r="E53" s="158">
        <f t="shared" si="11"/>
        <v>0.16211585668943224</v>
      </c>
      <c r="F53" s="158">
        <f t="shared" si="12"/>
        <v>0.52884026254988292</v>
      </c>
      <c r="G53" s="158">
        <f t="shared" si="13"/>
        <v>4.6298566185445047</v>
      </c>
      <c r="H53" s="158">
        <f t="shared" si="14"/>
        <v>1.5873794120724016</v>
      </c>
      <c r="I53" s="219">
        <f t="shared" si="15"/>
        <v>0.60825131736611415</v>
      </c>
      <c r="J53" s="155">
        <f t="shared" si="16"/>
        <v>498.39026103333924</v>
      </c>
      <c r="K53" s="155">
        <f t="shared" si="18"/>
        <v>502.60973896666076</v>
      </c>
      <c r="L53" s="155">
        <f t="shared" si="17"/>
        <v>0.49714118592152401</v>
      </c>
    </row>
    <row r="54" spans="2:12" x14ac:dyDescent="0.2">
      <c r="B54" s="154"/>
      <c r="C54" s="153"/>
      <c r="D54" s="153"/>
      <c r="E54" s="153"/>
      <c r="F54" s="153"/>
      <c r="G54" s="153"/>
      <c r="H54" s="153"/>
      <c r="I54" s="152"/>
      <c r="J54" s="151"/>
      <c r="K54" s="151"/>
      <c r="L54" s="151"/>
    </row>
    <row r="56" spans="2:12" x14ac:dyDescent="0.2">
      <c r="J56" s="3"/>
    </row>
    <row r="57" spans="2:12" ht="19" x14ac:dyDescent="0.2">
      <c r="B57" s="330"/>
      <c r="C57" s="330"/>
      <c r="D57" s="330"/>
      <c r="E57" s="330"/>
      <c r="F57" s="330"/>
      <c r="G57" s="330"/>
      <c r="H57" s="330"/>
      <c r="I57" s="330"/>
      <c r="J57" s="3"/>
    </row>
    <row r="58" spans="2:12" x14ac:dyDescent="0.2">
      <c r="B58" s="147"/>
      <c r="C58" s="147"/>
      <c r="D58" s="147"/>
      <c r="E58" s="147"/>
      <c r="F58" s="147"/>
      <c r="G58" s="147"/>
      <c r="H58" s="147"/>
      <c r="I58" s="147"/>
      <c r="J58" s="3"/>
    </row>
    <row r="59" spans="2:12" x14ac:dyDescent="0.2">
      <c r="B59" s="143"/>
      <c r="C59" s="145"/>
      <c r="D59" s="145"/>
      <c r="E59" s="145"/>
      <c r="F59" s="145"/>
      <c r="G59" s="145"/>
      <c r="H59" s="145"/>
      <c r="I59" s="145"/>
      <c r="J59" s="3"/>
    </row>
    <row r="60" spans="2:12" x14ac:dyDescent="0.2">
      <c r="B60" s="143"/>
      <c r="C60" s="145"/>
      <c r="D60" s="145"/>
      <c r="E60" s="145"/>
      <c r="F60" s="145"/>
      <c r="G60" s="145"/>
      <c r="H60" s="145"/>
      <c r="I60" s="145"/>
      <c r="J60" s="3"/>
    </row>
    <row r="61" spans="2:12" x14ac:dyDescent="0.2">
      <c r="B61" s="143"/>
      <c r="C61" s="145"/>
      <c r="D61" s="145"/>
      <c r="E61" s="145"/>
      <c r="F61" s="145"/>
      <c r="G61" s="145"/>
      <c r="H61" s="145"/>
      <c r="I61" s="145"/>
    </row>
    <row r="62" spans="2:12" x14ac:dyDescent="0.2">
      <c r="B62" s="143"/>
      <c r="C62" s="145"/>
      <c r="D62" s="145"/>
      <c r="E62" s="145"/>
      <c r="F62" s="145"/>
      <c r="G62" s="145"/>
      <c r="H62" s="145"/>
      <c r="I62" s="145"/>
    </row>
    <row r="63" spans="2:12" x14ac:dyDescent="0.2">
      <c r="B63" s="143"/>
      <c r="C63" s="145"/>
      <c r="D63" s="145"/>
      <c r="E63" s="145"/>
      <c r="F63" s="145"/>
      <c r="G63" s="145"/>
      <c r="H63" s="145"/>
      <c r="I63" s="145"/>
    </row>
    <row r="64" spans="2:12" x14ac:dyDescent="0.2">
      <c r="B64" s="143"/>
      <c r="C64" s="143"/>
      <c r="D64" s="143"/>
      <c r="E64" s="143"/>
      <c r="F64" s="143"/>
      <c r="G64" s="143"/>
      <c r="H64" s="143"/>
      <c r="I64" s="143"/>
      <c r="J64" s="218"/>
    </row>
    <row r="65" spans="2:10" x14ac:dyDescent="0.2">
      <c r="J65" s="218"/>
    </row>
    <row r="66" spans="2:10" x14ac:dyDescent="0.2">
      <c r="J66" s="145"/>
    </row>
    <row r="67" spans="2:10" ht="19" x14ac:dyDescent="0.2">
      <c r="B67" s="330"/>
      <c r="C67" s="330"/>
      <c r="D67" s="330"/>
      <c r="E67" s="330"/>
      <c r="F67" s="330"/>
      <c r="G67" s="330"/>
      <c r="H67" s="330"/>
      <c r="I67" s="330"/>
      <c r="J67" s="145"/>
    </row>
    <row r="68" spans="2:10" x14ac:dyDescent="0.2">
      <c r="B68" s="147"/>
      <c r="C68" s="147"/>
      <c r="D68" s="147"/>
      <c r="E68" s="147"/>
      <c r="F68" s="147"/>
      <c r="G68" s="147"/>
      <c r="H68" s="147"/>
      <c r="I68" s="147"/>
      <c r="J68" s="145"/>
    </row>
    <row r="69" spans="2:10" x14ac:dyDescent="0.2">
      <c r="B69" s="143"/>
      <c r="C69" s="145"/>
      <c r="D69" s="145"/>
      <c r="E69" s="145"/>
      <c r="F69" s="145"/>
      <c r="G69" s="145"/>
      <c r="H69" s="145"/>
      <c r="I69" s="145"/>
      <c r="J69" s="145"/>
    </row>
    <row r="70" spans="2:10" x14ac:dyDescent="0.2">
      <c r="B70" s="143"/>
      <c r="C70" s="145"/>
      <c r="D70" s="145"/>
      <c r="E70" s="145"/>
      <c r="F70" s="145"/>
      <c r="G70" s="145"/>
      <c r="H70" s="145"/>
      <c r="I70" s="145"/>
      <c r="J70" s="145"/>
    </row>
    <row r="71" spans="2:10" x14ac:dyDescent="0.2">
      <c r="B71" s="143"/>
      <c r="C71" s="145"/>
      <c r="D71" s="145"/>
      <c r="E71" s="145"/>
      <c r="F71" s="145"/>
      <c r="G71" s="145"/>
      <c r="H71" s="145"/>
      <c r="I71" s="145"/>
      <c r="J71" s="218"/>
    </row>
    <row r="72" spans="2:10" x14ac:dyDescent="0.2">
      <c r="B72" s="143"/>
      <c r="C72" s="145"/>
      <c r="D72" s="145"/>
      <c r="E72" s="145"/>
      <c r="F72" s="145"/>
      <c r="G72" s="145"/>
      <c r="H72" s="145"/>
      <c r="I72" s="145"/>
    </row>
    <row r="73" spans="2:10" x14ac:dyDescent="0.2">
      <c r="B73" s="143"/>
      <c r="C73" s="145"/>
      <c r="D73" s="145"/>
      <c r="E73" s="145"/>
      <c r="F73" s="145"/>
      <c r="G73" s="145"/>
      <c r="H73" s="145"/>
      <c r="I73" s="145"/>
    </row>
    <row r="74" spans="2:10" x14ac:dyDescent="0.2">
      <c r="B74" s="143"/>
      <c r="C74" s="143"/>
      <c r="D74" s="143"/>
      <c r="E74" s="143"/>
      <c r="F74" s="143"/>
      <c r="G74" s="143"/>
      <c r="H74" s="143"/>
      <c r="I74" s="143"/>
    </row>
  </sheetData>
  <mergeCells count="10">
    <mergeCell ref="M34:U47"/>
    <mergeCell ref="B2:I2"/>
    <mergeCell ref="B57:I57"/>
    <mergeCell ref="B67:I67"/>
    <mergeCell ref="B31:I31"/>
    <mergeCell ref="B17:I17"/>
    <mergeCell ref="B44:I44"/>
    <mergeCell ref="J44:J45"/>
    <mergeCell ref="K44:K45"/>
    <mergeCell ref="L44:L4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CO2_Tonne</vt:lpstr>
      <vt:lpstr>Volume Inputs &amp; Emissions</vt:lpstr>
      <vt:lpstr>Coal Production</vt:lpstr>
      <vt:lpstr>CO2 per Kwh SUMMARY</vt:lpstr>
      <vt:lpstr>EIA-GLOBAL</vt:lpstr>
      <vt:lpstr>INDIA</vt:lpstr>
      <vt:lpstr>OECD EUROPE</vt:lpstr>
      <vt:lpstr>Non-OECD EUROPE</vt:lpstr>
      <vt:lpstr>Non-OECD ASIA</vt:lpstr>
      <vt:lpstr>S KOREA</vt:lpstr>
      <vt:lpstr>JAPAN</vt:lpstr>
      <vt:lpstr>AFRICA</vt:lpstr>
      <vt:lpstr>CHINA</vt:lpstr>
      <vt:lpstr>BRAZIL</vt:lpstr>
      <vt:lpstr>Non-OECD Americas</vt:lpstr>
      <vt:lpstr>MEXICO</vt:lpstr>
      <vt:lpstr>MID EAST</vt:lpstr>
      <vt:lpstr>Canada</vt:lpstr>
      <vt:lpstr>NZ AU</vt:lpstr>
      <vt:lpstr>IPCC</vt:lpstr>
      <vt:lpstr>Port Export  SUMMARY</vt:lpstr>
      <vt:lpstr>Seattle</vt:lpstr>
      <vt:lpstr>Houston</vt:lpstr>
      <vt:lpstr>Alabama</vt:lpstr>
      <vt:lpstr>New Orleans</vt:lpstr>
      <vt:lpstr>Baltimore</vt:lpstr>
      <vt:lpstr>Norfolk</vt:lpstr>
      <vt:lpstr>Export_quantity_from_Seattle_WA</vt:lpstr>
      <vt:lpstr>Export_quantity_from_Houston-Ga</vt:lpstr>
      <vt:lpstr>Export_quantity_from_Mobile_AL</vt:lpstr>
      <vt:lpstr>Export_quantity_from_New_Orlean</vt:lpstr>
      <vt:lpstr>Export_quantity_from_Baltimore_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Preston Bornman</dc:creator>
  <cp:lastModifiedBy>Preston Bornman</cp:lastModifiedBy>
  <dcterms:created xsi:type="dcterms:W3CDTF">2022-06-20T20:31:45Z</dcterms:created>
  <dcterms:modified xsi:type="dcterms:W3CDTF">2022-09-23T14:02:04Z</dcterms:modified>
</cp:coreProperties>
</file>